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 codeName="{28389E77-7640-9E18-AD5C-E98E2F4A8B83}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ab-my.sharepoint.com/personal/1140188_uab_cat/Documents/Fitxers dels xats de Microsoft Teams/"/>
    </mc:Choice>
  </mc:AlternateContent>
  <xr:revisionPtr revIDLastSave="86" documentId="8_{4F26DD8D-CBAC-4B62-AED9-0C389FB68D9E}" xr6:coauthVersionLast="47" xr6:coauthVersionMax="47" xr10:uidLastSave="{61BBBDB7-E47A-4BD3-89AA-DA175274D899}"/>
  <bookViews>
    <workbookView xWindow="28680" yWindow="-120" windowWidth="29040" windowHeight="15720" firstSheet="3" activeTab="1" xr2:uid="{00000000-000D-0000-FFFF-FFFF00000000}"/>
  </bookViews>
  <sheets>
    <sheet name="Portada" sheetId="1" r:id="rId1"/>
    <sheet name="Càlcul Cost Contractació " sheetId="2" r:id="rId2"/>
    <sheet name="Càlcul Indemnització - Vacances" sheetId="3" r:id="rId3"/>
    <sheet name="Informació Retribucions" sheetId="4" r:id="rId4"/>
  </sheets>
  <externalReferences>
    <externalReference r:id="rId5"/>
  </externalReferences>
  <definedNames>
    <definedName name="estabilitzats" localSheetId="0">[1]Desplegables!#REF!</definedName>
    <definedName name="estabilitzats">[1]Desplegables!#REF!</definedName>
    <definedName name="final" localSheetId="0">#REF!</definedName>
    <definedName name="final">#REF!</definedName>
    <definedName name="inici" localSheetId="0">#REF!</definedName>
    <definedName name="inici">#REF!</definedName>
    <definedName name="OLE_LINK18" localSheetId="3">'Informació Retribucions'!$E$33</definedName>
    <definedName name="OLE_LINK18" localSheetId="0">Portada!$E$34</definedName>
    <definedName name="OLE_LINK3" localSheetId="3">'Informació Retribucions'!$D$16</definedName>
    <definedName name="OLE_LINK3" localSheetId="0">Portada!$D$17</definedName>
    <definedName name="OLE_LINK8" localSheetId="3">'Informació Retribucions'!$D$18</definedName>
    <definedName name="OLE_LINK8" localSheetId="0">Portada!$D$19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4" i="2" l="1"/>
  <c r="G15" i="3"/>
  <c r="H29" i="2" l="1"/>
  <c r="K63" i="2"/>
  <c r="J88" i="2"/>
  <c r="I88" i="2"/>
  <c r="I87" i="2"/>
  <c r="H10" i="2"/>
  <c r="E10" i="3"/>
  <c r="E12" i="4" l="1"/>
  <c r="I82" i="2" s="1"/>
  <c r="E11" i="4"/>
  <c r="I81" i="2" s="1"/>
  <c r="E10" i="4"/>
  <c r="I80" i="2" s="1"/>
  <c r="E9" i="4"/>
  <c r="I79" i="2" s="1"/>
  <c r="E8" i="4"/>
  <c r="I78" i="2" s="1"/>
  <c r="E9" i="2" s="1"/>
  <c r="E7" i="4"/>
  <c r="I77" i="2" s="1"/>
  <c r="J77" i="2" s="1"/>
  <c r="E6" i="4"/>
  <c r="I76" i="2" s="1"/>
  <c r="F16" i="3"/>
  <c r="E15" i="3"/>
  <c r="F10" i="3"/>
  <c r="O72" i="2"/>
  <c r="P72" i="2" s="1"/>
  <c r="S72" i="2" s="1"/>
  <c r="P71" i="2"/>
  <c r="S71" i="2" s="1"/>
  <c r="O66" i="2"/>
  <c r="N66" i="2"/>
  <c r="I66" i="2"/>
  <c r="H66" i="2"/>
  <c r="O65" i="2"/>
  <c r="R66" i="2" s="1"/>
  <c r="N65" i="2"/>
  <c r="Q66" i="2" s="1"/>
  <c r="I65" i="2"/>
  <c r="L66" i="2" s="1"/>
  <c r="H65" i="2"/>
  <c r="K66" i="2" s="1"/>
  <c r="O64" i="2"/>
  <c r="N64" i="2"/>
  <c r="I64" i="2"/>
  <c r="H64" i="2"/>
  <c r="Q63" i="2"/>
  <c r="O63" i="2"/>
  <c r="N63" i="2"/>
  <c r="I63" i="2"/>
  <c r="H63" i="2"/>
  <c r="Q60" i="2"/>
  <c r="O60" i="2"/>
  <c r="Q71" i="2" l="1"/>
  <c r="Q72" i="2"/>
  <c r="K60" i="2"/>
  <c r="G29" i="2" s="1"/>
  <c r="F15" i="3"/>
  <c r="O71" i="2"/>
  <c r="I67" i="2"/>
  <c r="O67" i="2"/>
  <c r="I71" i="2"/>
  <c r="J71" i="2" s="1"/>
  <c r="I70" i="2" l="1"/>
  <c r="J70" i="2" s="1"/>
  <c r="O73" i="2"/>
  <c r="P73" i="2" s="1"/>
  <c r="S73" i="2" s="1"/>
  <c r="O70" i="2"/>
  <c r="I72" i="2"/>
  <c r="J72" i="2" s="1"/>
  <c r="I73" i="2" l="1"/>
  <c r="K73" i="2" s="1"/>
  <c r="Q73" i="2"/>
  <c r="T73" i="2"/>
  <c r="R73" i="2" s="1"/>
  <c r="P70" i="2"/>
  <c r="S70" i="2" s="1"/>
  <c r="J73" i="2" l="1"/>
  <c r="I60" i="2" s="1"/>
  <c r="S75" i="2"/>
  <c r="P60" i="2" s="1"/>
  <c r="J60" i="2" l="1"/>
  <c r="F29" i="2" s="1"/>
  <c r="E29" i="2"/>
  <c r="I29" i="2" l="1"/>
</calcChain>
</file>

<file path=xl/sharedStrings.xml><?xml version="1.0" encoding="utf-8"?>
<sst xmlns="http://schemas.openxmlformats.org/spreadsheetml/2006/main" count="124" uniqueCount="79">
  <si>
    <t>Quantia de la indemnització</t>
  </si>
  <si>
    <t>Càlcul retribució contractes</t>
  </si>
  <si>
    <t>Càlcul triennis</t>
  </si>
  <si>
    <t>Grup i categoria</t>
  </si>
  <si>
    <t>Grup</t>
  </si>
  <si>
    <t>Hores/Setmana</t>
  </si>
  <si>
    <t>Número de Triennis</t>
  </si>
  <si>
    <t>Retribució mensual</t>
  </si>
  <si>
    <t>Càlcul imports reserves de recursos</t>
  </si>
  <si>
    <t>Model 1</t>
  </si>
  <si>
    <t>Model 2</t>
  </si>
  <si>
    <t>1 - Q</t>
  </si>
  <si>
    <t>Retribució mensual amb triennis</t>
  </si>
  <si>
    <t>Data inici</t>
  </si>
  <si>
    <t>Data finalització</t>
  </si>
  <si>
    <t>Estabilitzat</t>
  </si>
  <si>
    <t>Plus Campus</t>
  </si>
  <si>
    <t>Sí</t>
  </si>
  <si>
    <t>Imports reserva de recursos</t>
  </si>
  <si>
    <t>Sou 
(64130 - 28130)</t>
  </si>
  <si>
    <t>SS
(64160 - 28160)</t>
  </si>
  <si>
    <t>Indemnització
(64132 - 28132)</t>
  </si>
  <si>
    <t>Complement PLUS CAMPUS</t>
  </si>
  <si>
    <t>TOTAL</t>
  </si>
  <si>
    <t>Quantia indemnització</t>
  </si>
  <si>
    <t>Número màxim d'hores</t>
  </si>
  <si>
    <t>RESERVES DE RECURSOS CALCULADES PER GRUP I NOMBRE D'HORES</t>
  </si>
  <si>
    <t>RESERVES DE RECURSOS CALCULADES PER SALARI</t>
  </si>
  <si>
    <t>SOU</t>
  </si>
  <si>
    <t>SS</t>
  </si>
  <si>
    <t>INDEMNITZACIÓ</t>
  </si>
  <si>
    <t>data inici</t>
  </si>
  <si>
    <t>data fi</t>
  </si>
  <si>
    <t>Dies indemnització</t>
  </si>
  <si>
    <t>Dies</t>
  </si>
  <si>
    <t>Mesos</t>
  </si>
  <si>
    <t>Anys</t>
  </si>
  <si>
    <t>Any de traspàs inici</t>
  </si>
  <si>
    <t>Any de traspàs final</t>
  </si>
  <si>
    <t>Dies del mes</t>
  </si>
  <si>
    <t>RR mensual o diària</t>
  </si>
  <si>
    <t>Mesos sencers</t>
  </si>
  <si>
    <t>Salari amb triennis</t>
  </si>
  <si>
    <t>Nombre dies</t>
  </si>
  <si>
    <t>SS amb salari &gt;4909,50</t>
  </si>
  <si>
    <t>Mesos complets</t>
  </si>
  <si>
    <t>Més inicial fraccionat</t>
  </si>
  <si>
    <t>Més final fraccionat</t>
  </si>
  <si>
    <t>RR del mateix mes</t>
  </si>
  <si>
    <t>Inici i final fraccionat amb mesos dels mateixos dies</t>
  </si>
  <si>
    <t>Inci i final fraccionat amb mesos dels mateixos dies</t>
  </si>
  <si>
    <t>SS RR mateix dia</t>
  </si>
  <si>
    <t>Grup i Categoria</t>
  </si>
  <si>
    <t>Sou mensual brut</t>
  </si>
  <si>
    <t>Suma SS amb Salari &gt; 4909,50</t>
  </si>
  <si>
    <t>2 - L</t>
  </si>
  <si>
    <t>2 - O</t>
  </si>
  <si>
    <t>2 - Q</t>
  </si>
  <si>
    <t>3 - L</t>
  </si>
  <si>
    <t>3 - O</t>
  </si>
  <si>
    <t>3 - Q</t>
  </si>
  <si>
    <t>Trienni G1</t>
  </si>
  <si>
    <t>Import Triennis</t>
  </si>
  <si>
    <t>Trienni G2-4</t>
  </si>
  <si>
    <t>Càlcul de les indemnitzacions i de les vacances</t>
  </si>
  <si>
    <t xml:space="preserve">Retribució mensual amb triennis </t>
  </si>
  <si>
    <t>Total dies indemnització</t>
  </si>
  <si>
    <t>Total indemnització</t>
  </si>
  <si>
    <t>Total dies vacances</t>
  </si>
  <si>
    <t>Total import vacances</t>
  </si>
  <si>
    <t>Seguretat social</t>
  </si>
  <si>
    <t>Es compten des de l'1 de setembre fins al 31 d'agost de l'any vinent</t>
  </si>
  <si>
    <t>Categoria laboral</t>
  </si>
  <si>
    <t>Retribució bruta anual (35h/s)</t>
  </si>
  <si>
    <t>Retribució bruta mensual (35h/s)</t>
  </si>
  <si>
    <t>Preu trienni 
(35h/s)</t>
  </si>
  <si>
    <t>T. superior de suport a la recerca</t>
  </si>
  <si>
    <t>T. mitjà de suport a la recerca</t>
  </si>
  <si>
    <t>T. especialista de suport a la recerca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</si>
</sst>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.0"/>
    <numFmt numFmtId="166" formatCode="#,##0.00\ &quot;€&quot;"/>
  </numFmts>
  <fonts count="23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Wingdings"/>
      <charset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13"/>
      <color theme="1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i/>
      <sz val="11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3292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329222"/>
      </bottom>
      <diagonal/>
    </border>
    <border>
      <left/>
      <right style="thin">
        <color rgb="FF329222"/>
      </right>
      <top/>
      <bottom/>
      <diagonal/>
    </border>
    <border>
      <left style="thin">
        <color rgb="FF329222"/>
      </left>
      <right style="thin">
        <color theme="0"/>
      </right>
      <top style="thin">
        <color rgb="FF329222"/>
      </top>
      <bottom style="thin">
        <color theme="0"/>
      </bottom>
      <diagonal/>
    </border>
    <border>
      <left style="thin">
        <color theme="0"/>
      </left>
      <right/>
      <top style="thin">
        <color rgb="FF329222"/>
      </top>
      <bottom style="thin">
        <color rgb="FF329222"/>
      </bottom>
      <diagonal/>
    </border>
    <border>
      <left style="thin">
        <color rgb="FF329222"/>
      </left>
      <right style="thin">
        <color rgb="FF008080"/>
      </right>
      <top/>
      <bottom/>
      <diagonal/>
    </border>
    <border>
      <left style="thin">
        <color rgb="FF008080"/>
      </left>
      <right style="thin">
        <color theme="0"/>
      </right>
      <top style="thin">
        <color rgb="FF329222"/>
      </top>
      <bottom style="thin">
        <color theme="0"/>
      </bottom>
      <diagonal/>
    </border>
    <border>
      <left style="thin">
        <color theme="0"/>
      </left>
      <right/>
      <top/>
      <bottom style="thin">
        <color rgb="FF329222"/>
      </bottom>
      <diagonal/>
    </border>
    <border>
      <left style="thin">
        <color rgb="FF329222"/>
      </left>
      <right/>
      <top/>
      <bottom/>
      <diagonal/>
    </border>
    <border>
      <left style="thin">
        <color rgb="FF329222"/>
      </left>
      <right style="thin">
        <color theme="0"/>
      </right>
      <top style="thin">
        <color theme="0"/>
      </top>
      <bottom style="thin">
        <color rgb="FF329222"/>
      </bottom>
      <diagonal/>
    </border>
    <border>
      <left style="thin">
        <color theme="0"/>
      </left>
      <right style="thin">
        <color rgb="FF329222"/>
      </right>
      <top style="thin">
        <color rgb="FF329222"/>
      </top>
      <bottom style="thin">
        <color rgb="FF329222"/>
      </bottom>
      <diagonal/>
    </border>
    <border>
      <left style="thin">
        <color rgb="FF00808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 style="thin">
        <color theme="0"/>
      </top>
      <bottom/>
      <diagonal/>
    </border>
    <border>
      <left style="thin">
        <color rgb="FF329222"/>
      </left>
      <right style="thin">
        <color rgb="FF329222"/>
      </right>
      <top style="thin">
        <color rgb="FF329222"/>
      </top>
      <bottom style="thin">
        <color rgb="FF329222"/>
      </bottom>
      <diagonal/>
    </border>
    <border>
      <left/>
      <right/>
      <top style="thin">
        <color rgb="FF329222"/>
      </top>
      <bottom/>
      <diagonal/>
    </border>
    <border>
      <left style="thin">
        <color rgb="FF329222"/>
      </left>
      <right/>
      <top style="thin">
        <color rgb="FF329222"/>
      </top>
      <bottom style="thin">
        <color theme="0"/>
      </bottom>
      <diagonal/>
    </border>
    <border>
      <left style="thin">
        <color rgb="FF329222"/>
      </left>
      <right style="thin">
        <color rgb="FF329222"/>
      </right>
      <top style="thin">
        <color rgb="FF329222"/>
      </top>
      <bottom/>
      <diagonal/>
    </border>
    <border>
      <left style="thin">
        <color rgb="FF329222"/>
      </left>
      <right/>
      <top style="thin">
        <color theme="0"/>
      </top>
      <bottom style="thin">
        <color theme="0"/>
      </bottom>
      <diagonal/>
    </border>
    <border>
      <left style="thin">
        <color rgb="FF329222"/>
      </left>
      <right style="thin">
        <color rgb="FF329222"/>
      </right>
      <top style="thin">
        <color theme="0"/>
      </top>
      <bottom style="thin">
        <color theme="0"/>
      </bottom>
      <diagonal/>
    </border>
    <border>
      <left style="thin">
        <color rgb="FF329222"/>
      </left>
      <right style="thin">
        <color rgb="FF329222"/>
      </right>
      <top/>
      <bottom/>
      <diagonal/>
    </border>
    <border>
      <left style="thin">
        <color rgb="FF3292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329222"/>
      </left>
      <right style="thin">
        <color rgb="FF32922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rgb="FF329222"/>
      </right>
      <top style="thin">
        <color theme="0"/>
      </top>
      <bottom style="thin">
        <color rgb="FF329222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rgb="FF329222"/>
      </top>
      <bottom style="thin">
        <color theme="0"/>
      </bottom>
      <diagonal/>
    </border>
    <border>
      <left style="thin">
        <color theme="0"/>
      </left>
      <right/>
      <top style="thin">
        <color rgb="FF329222"/>
      </top>
      <bottom style="thin">
        <color theme="0"/>
      </bottom>
      <diagonal/>
    </border>
    <border>
      <left style="thin">
        <color rgb="FF329222"/>
      </left>
      <right style="thin">
        <color rgb="FF329222"/>
      </right>
      <top style="thin">
        <color theme="0"/>
      </top>
      <bottom style="thin">
        <color rgb="FF329222"/>
      </bottom>
      <diagonal/>
    </border>
    <border>
      <left style="thin">
        <color rgb="FF329222"/>
      </left>
      <right/>
      <top style="thin">
        <color theme="0"/>
      </top>
      <bottom style="thin">
        <color rgb="FF3292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29222"/>
      </left>
      <right style="thin">
        <color theme="0"/>
      </right>
      <top style="thin">
        <color rgb="FF329222"/>
      </top>
      <bottom/>
      <diagonal/>
    </border>
    <border>
      <left style="thin">
        <color rgb="FF329222"/>
      </left>
      <right/>
      <top style="thin">
        <color rgb="FF329222"/>
      </top>
      <bottom style="thin">
        <color rgb="FF329222"/>
      </bottom>
      <diagonal/>
    </border>
    <border>
      <left style="thin">
        <color rgb="FF329222"/>
      </left>
      <right style="thin">
        <color theme="0"/>
      </right>
      <top style="thin">
        <color rgb="FF329222"/>
      </top>
      <bottom style="thin">
        <color rgb="FF329222"/>
      </bottom>
      <diagonal/>
    </border>
    <border>
      <left style="thin">
        <color theme="0"/>
      </left>
      <right style="thin">
        <color rgb="FF329222"/>
      </right>
      <top style="thin">
        <color rgb="FF329222"/>
      </top>
      <bottom style="thin">
        <color theme="0"/>
      </bottom>
      <diagonal/>
    </border>
    <border>
      <left/>
      <right style="thin">
        <color rgb="FF329222"/>
      </right>
      <top/>
      <bottom style="thin">
        <color rgb="FF329222"/>
      </bottom>
      <diagonal/>
    </border>
    <border>
      <left style="thin">
        <color rgb="FF329222"/>
      </left>
      <right style="thin">
        <color rgb="FF329222"/>
      </right>
      <top/>
      <bottom style="thin">
        <color rgb="FF329222"/>
      </bottom>
      <diagonal/>
    </border>
    <border>
      <left/>
      <right style="thin">
        <color rgb="FF329222"/>
      </right>
      <top style="thin">
        <color rgb="FF329222"/>
      </top>
      <bottom style="thin">
        <color rgb="FF32922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8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left" vertical="center" indent="6"/>
    </xf>
    <xf numFmtId="0" fontId="5" fillId="2" borderId="0" xfId="0" applyFont="1" applyFill="1" applyAlignment="1">
      <alignment vertical="center"/>
    </xf>
    <xf numFmtId="0" fontId="12" fillId="4" borderId="5" xfId="0" applyFont="1" applyFill="1" applyBorder="1" applyAlignment="1" applyProtection="1">
      <alignment horizontal="center" vertical="center"/>
      <protection locked="0"/>
    </xf>
    <xf numFmtId="0" fontId="13" fillId="4" borderId="8" xfId="0" applyFont="1" applyFill="1" applyBorder="1" applyAlignment="1" applyProtection="1">
      <alignment horizontal="center" vertical="center"/>
      <protection locked="0"/>
    </xf>
    <xf numFmtId="165" fontId="12" fillId="0" borderId="11" xfId="0" applyNumberFormat="1" applyFont="1" applyBorder="1" applyAlignment="1" applyProtection="1">
      <alignment horizontal="center" vertical="center"/>
      <protection locked="0"/>
    </xf>
    <xf numFmtId="0" fontId="13" fillId="4" borderId="11" xfId="0" applyFont="1" applyFill="1" applyBorder="1" applyAlignment="1" applyProtection="1">
      <alignment horizontal="center" vertical="center"/>
      <protection locked="0"/>
    </xf>
    <xf numFmtId="166" fontId="12" fillId="0" borderId="14" xfId="0" applyNumberFormat="1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14" fontId="12" fillId="0" borderId="14" xfId="0" applyNumberFormat="1" applyFont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hidden="1"/>
    </xf>
    <xf numFmtId="0" fontId="11" fillId="3" borderId="26" xfId="0" applyFont="1" applyFill="1" applyBorder="1" applyAlignment="1" applyProtection="1">
      <alignment horizontal="center" vertical="center" wrapText="1"/>
      <protection hidden="1"/>
    </xf>
    <xf numFmtId="0" fontId="11" fillId="3" borderId="27" xfId="0" applyFont="1" applyFill="1" applyBorder="1" applyAlignment="1" applyProtection="1">
      <alignment horizontal="center" vertical="center" wrapText="1"/>
      <protection hidden="1"/>
    </xf>
    <xf numFmtId="166" fontId="12" fillId="0" borderId="28" xfId="0" applyNumberFormat="1" applyFont="1" applyBorder="1" applyAlignment="1" applyProtection="1">
      <alignment horizontal="center" vertical="center"/>
      <protection hidden="1"/>
    </xf>
    <xf numFmtId="166" fontId="12" fillId="0" borderId="29" xfId="0" applyNumberFormat="1" applyFont="1" applyBorder="1" applyAlignment="1" applyProtection="1">
      <alignment horizontal="center" vertical="center"/>
      <protection hidden="1"/>
    </xf>
    <xf numFmtId="0" fontId="6" fillId="0" borderId="30" xfId="0" applyFont="1" applyBorder="1" applyAlignment="1" applyProtection="1">
      <alignment horizontal="center" vertical="center"/>
      <protection locked="0"/>
    </xf>
    <xf numFmtId="14" fontId="12" fillId="4" borderId="11" xfId="0" applyNumberFormat="1" applyFont="1" applyFill="1" applyBorder="1" applyAlignment="1" applyProtection="1">
      <alignment horizontal="center" vertical="center"/>
      <protection locked="0"/>
    </xf>
    <xf numFmtId="14" fontId="12" fillId="4" borderId="5" xfId="0" applyNumberFormat="1" applyFont="1" applyFill="1" applyBorder="1" applyAlignment="1" applyProtection="1">
      <alignment horizontal="center" vertical="center"/>
      <protection locked="0"/>
    </xf>
    <xf numFmtId="166" fontId="12" fillId="0" borderId="11" xfId="0" applyNumberFormat="1" applyFont="1" applyBorder="1" applyAlignment="1" applyProtection="1">
      <alignment horizontal="center" vertical="center"/>
      <protection locked="0"/>
    </xf>
    <xf numFmtId="164" fontId="6" fillId="2" borderId="30" xfId="1" applyFont="1" applyFill="1" applyBorder="1" applyAlignment="1" applyProtection="1">
      <alignment horizontal="center"/>
      <protection locked="0"/>
    </xf>
    <xf numFmtId="0" fontId="11" fillId="3" borderId="16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166" fontId="21" fillId="0" borderId="38" xfId="0" applyNumberFormat="1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166" fontId="21" fillId="0" borderId="14" xfId="0" applyNumberFormat="1" applyFont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vertical="center"/>
      <protection locked="0"/>
    </xf>
    <xf numFmtId="0" fontId="11" fillId="3" borderId="10" xfId="0" applyFont="1" applyFill="1" applyBorder="1" applyAlignment="1" applyProtection="1">
      <alignment horizontal="center" vertical="center"/>
      <protection locked="0"/>
    </xf>
    <xf numFmtId="0" fontId="11" fillId="3" borderId="12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3" fillId="2" borderId="15" xfId="0" applyFont="1" applyFill="1" applyBorder="1" applyAlignment="1" applyProtection="1">
      <alignment horizontal="center" vertical="center"/>
      <protection locked="0"/>
    </xf>
    <xf numFmtId="2" fontId="13" fillId="2" borderId="0" xfId="0" applyNumberFormat="1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vertical="center"/>
      <protection locked="0"/>
    </xf>
    <xf numFmtId="0" fontId="11" fillId="3" borderId="16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11" fillId="3" borderId="17" xfId="0" applyFont="1" applyFill="1" applyBorder="1" applyAlignment="1" applyProtection="1">
      <alignment horizontal="center" vertical="center"/>
      <protection locked="0"/>
    </xf>
    <xf numFmtId="0" fontId="11" fillId="3" borderId="18" xfId="0" applyFont="1" applyFill="1" applyBorder="1" applyAlignment="1" applyProtection="1">
      <alignment horizontal="center" vertical="center"/>
      <protection locked="0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0" fontId="11" fillId="3" borderId="21" xfId="0" applyFont="1" applyFill="1" applyBorder="1" applyAlignment="1" applyProtection="1">
      <alignment horizontal="center" vertical="center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vertical="center"/>
      <protection locked="0"/>
    </xf>
    <xf numFmtId="0" fontId="11" fillId="3" borderId="23" xfId="0" applyFont="1" applyFill="1" applyBorder="1" applyAlignment="1" applyProtection="1">
      <alignment horizontal="center" vertical="center"/>
      <protection locked="0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4" fontId="6" fillId="2" borderId="0" xfId="0" applyNumberFormat="1" applyFont="1" applyFill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0" fontId="16" fillId="2" borderId="1" xfId="0" applyFont="1" applyFill="1" applyBorder="1" applyAlignment="1" applyProtection="1">
      <alignment vertical="center"/>
      <protection locked="0"/>
    </xf>
    <xf numFmtId="0" fontId="17" fillId="2" borderId="25" xfId="0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14" fontId="6" fillId="2" borderId="0" xfId="0" applyNumberFormat="1" applyFont="1" applyFill="1" applyAlignment="1" applyProtection="1">
      <alignment vertical="center"/>
      <protection locked="0"/>
    </xf>
    <xf numFmtId="0" fontId="6" fillId="2" borderId="9" xfId="0" applyFont="1" applyFill="1" applyBorder="1" applyAlignment="1" applyProtection="1">
      <alignment vertical="center"/>
      <protection locked="0"/>
    </xf>
    <xf numFmtId="14" fontId="6" fillId="2" borderId="9" xfId="0" applyNumberFormat="1" applyFont="1" applyFill="1" applyBorder="1" applyAlignment="1" applyProtection="1">
      <alignment vertical="center"/>
      <protection locked="0"/>
    </xf>
    <xf numFmtId="166" fontId="18" fillId="2" borderId="0" xfId="0" applyNumberFormat="1" applyFont="1" applyFill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14" fillId="5" borderId="30" xfId="0" applyFont="1" applyFill="1" applyBorder="1" applyAlignment="1" applyProtection="1">
      <alignment vertical="center"/>
      <protection locked="0"/>
    </xf>
    <xf numFmtId="0" fontId="14" fillId="6" borderId="3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6" fillId="0" borderId="30" xfId="0" applyNumberFormat="1" applyFont="1" applyBorder="1" applyAlignment="1" applyProtection="1">
      <alignment horizontal="center" vertical="center"/>
      <protection locked="0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14" fillId="7" borderId="30" xfId="0" applyFont="1" applyFill="1" applyBorder="1" applyAlignment="1" applyProtection="1">
      <alignment horizontal="center" vertical="center"/>
      <protection locked="0"/>
    </xf>
    <xf numFmtId="0" fontId="14" fillId="8" borderId="30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" fontId="6" fillId="9" borderId="30" xfId="0" applyNumberFormat="1" applyFont="1" applyFill="1" applyBorder="1" applyAlignment="1" applyProtection="1">
      <alignment horizontal="center" vertical="center"/>
      <protection locked="0"/>
    </xf>
    <xf numFmtId="0" fontId="6" fillId="9" borderId="3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4" fillId="8" borderId="31" xfId="0" applyFont="1" applyFill="1" applyBorder="1" applyAlignment="1" applyProtection="1">
      <alignment horizontal="center" vertical="center"/>
      <protection locked="0"/>
    </xf>
    <xf numFmtId="0" fontId="14" fillId="8" borderId="32" xfId="0" applyFont="1" applyFill="1" applyBorder="1" applyAlignment="1" applyProtection="1">
      <alignment horizontal="center" vertical="center"/>
      <protection locked="0"/>
    </xf>
    <xf numFmtId="0" fontId="6" fillId="10" borderId="30" xfId="0" applyFont="1" applyFill="1" applyBorder="1" applyAlignment="1" applyProtection="1">
      <alignment horizontal="center" vertical="center"/>
      <protection locked="0"/>
    </xf>
    <xf numFmtId="0" fontId="14" fillId="8" borderId="30" xfId="0" applyFont="1" applyFill="1" applyBorder="1" applyAlignment="1" applyProtection="1">
      <alignment vertical="center"/>
      <protection locked="0"/>
    </xf>
    <xf numFmtId="4" fontId="0" fillId="0" borderId="30" xfId="0" applyNumberForma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14" fillId="7" borderId="30" xfId="0" applyFont="1" applyFill="1" applyBorder="1" applyAlignment="1" applyProtection="1">
      <alignment horizontal="center" vertical="center" wrapText="1"/>
      <protection locked="0"/>
    </xf>
    <xf numFmtId="1" fontId="6" fillId="0" borderId="31" xfId="0" applyNumberFormat="1" applyFont="1" applyBorder="1" applyAlignment="1" applyProtection="1">
      <alignment horizontal="center" vertical="center"/>
      <protection locked="0"/>
    </xf>
    <xf numFmtId="1" fontId="6" fillId="0" borderId="32" xfId="0" applyNumberFormat="1" applyFont="1" applyBorder="1" applyAlignment="1" applyProtection="1">
      <alignment horizontal="center" vertical="center"/>
      <protection locked="0"/>
    </xf>
    <xf numFmtId="0" fontId="14" fillId="8" borderId="30" xfId="0" applyFont="1" applyFill="1" applyBorder="1" applyAlignment="1" applyProtection="1">
      <alignment horizontal="center" vertical="center" wrapText="1"/>
      <protection locked="0"/>
    </xf>
    <xf numFmtId="0" fontId="14" fillId="8" borderId="30" xfId="0" applyFont="1" applyFill="1" applyBorder="1" applyAlignment="1" applyProtection="1">
      <alignment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1" fontId="6" fillId="0" borderId="30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8" borderId="31" xfId="0" applyFont="1" applyFill="1" applyBorder="1" applyAlignment="1" applyProtection="1">
      <alignment horizontal="center" vertical="center" wrapText="1"/>
      <protection locked="0"/>
    </xf>
    <xf numFmtId="0" fontId="14" fillId="8" borderId="32" xfId="0" applyFont="1" applyFill="1" applyBorder="1" applyAlignment="1" applyProtection="1">
      <alignment horizontal="center" vertical="center" wrapText="1"/>
      <protection locked="0"/>
    </xf>
    <xf numFmtId="4" fontId="6" fillId="10" borderId="30" xfId="0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6" fillId="2" borderId="0" xfId="0" applyFont="1" applyFill="1" applyProtection="1">
      <protection locked="0"/>
    </xf>
    <xf numFmtId="0" fontId="8" fillId="2" borderId="1" xfId="0" applyFont="1" applyFill="1" applyBorder="1" applyProtection="1">
      <protection locked="0"/>
    </xf>
    <xf numFmtId="0" fontId="11" fillId="3" borderId="33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Protection="1">
      <protection locked="0"/>
    </xf>
    <xf numFmtId="0" fontId="11" fillId="3" borderId="10" xfId="0" applyFont="1" applyFill="1" applyBorder="1" applyAlignment="1" applyProtection="1">
      <alignment horizontal="center" vertical="center" wrapText="1"/>
      <protection locked="0"/>
    </xf>
    <xf numFmtId="0" fontId="11" fillId="3" borderId="16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35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Protection="1">
      <protection locked="0"/>
    </xf>
    <xf numFmtId="164" fontId="6" fillId="2" borderId="0" xfId="1" applyFont="1" applyFill="1" applyProtection="1">
      <protection locked="0"/>
    </xf>
    <xf numFmtId="0" fontId="6" fillId="0" borderId="0" xfId="0" applyFont="1" applyProtection="1">
      <protection locked="0"/>
    </xf>
    <xf numFmtId="0" fontId="12" fillId="4" borderId="34" xfId="0" applyFont="1" applyFill="1" applyBorder="1" applyAlignment="1" applyProtection="1">
      <alignment horizontal="center" vertical="center"/>
      <protection hidden="1"/>
    </xf>
    <xf numFmtId="166" fontId="12" fillId="4" borderId="14" xfId="0" applyNumberFormat="1" applyFont="1" applyFill="1" applyBorder="1" applyAlignment="1" applyProtection="1">
      <alignment horizontal="center" vertical="center"/>
      <protection hidden="1"/>
    </xf>
    <xf numFmtId="0" fontId="12" fillId="4" borderId="14" xfId="0" applyFont="1" applyFill="1" applyBorder="1" applyAlignment="1" applyProtection="1">
      <alignment horizontal="center" vertical="center"/>
      <protection hidden="1"/>
    </xf>
    <xf numFmtId="166" fontId="12" fillId="4" borderId="34" xfId="0" applyNumberFormat="1" applyFont="1" applyFill="1" applyBorder="1" applyAlignment="1" applyProtection="1">
      <alignment horizontal="center" vertical="center"/>
      <protection hidden="1"/>
    </xf>
    <xf numFmtId="14" fontId="6" fillId="2" borderId="0" xfId="0" applyNumberFormat="1" applyFont="1" applyFill="1" applyAlignment="1" applyProtection="1">
      <alignment horizontal="left" vertical="center"/>
      <protection locked="0"/>
    </xf>
    <xf numFmtId="166" fontId="0" fillId="2" borderId="0" xfId="0" applyNumberFormat="1" applyFill="1"/>
    <xf numFmtId="166" fontId="12" fillId="4" borderId="14" xfId="0" applyNumberFormat="1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14" fillId="5" borderId="30" xfId="0" applyFont="1" applyFill="1" applyBorder="1" applyAlignment="1" applyProtection="1">
      <alignment horizontal="center" vertical="center"/>
      <protection locked="0"/>
    </xf>
    <xf numFmtId="0" fontId="11" fillId="3" borderId="1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Migliaia 2" xfId="1" xr:uid="{00000000-0005-0000-0000-000000000000}"/>
    <cellStyle name="Normal" xfId="0" builtinId="0"/>
  </cellStyles>
  <dxfs count="1">
    <dxf>
      <font>
        <color auto="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Radio" firstButton="1" fmlaLink="H51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Radio" firstButton="1" fmlaLink="E33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1609725</xdr:colOff>
      <xdr:row>13</xdr:row>
      <xdr:rowOff>102870</xdr:rowOff>
    </xdr:from>
    <xdr:to>
      <xdr:col>4</xdr:col>
      <xdr:colOff>1045369</xdr:colOff>
      <xdr:row>30</xdr:row>
      <xdr:rowOff>85725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381375" y="2703195"/>
          <a:ext cx="4086225" cy="2478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424656</xdr:colOff>
      <xdr:row>48</xdr:row>
      <xdr:rowOff>119694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556750" cy="7796844"/>
        </a:xfrm>
        <a:prstGeom prst="rect">
          <a:avLst/>
        </a:prstGeom>
      </xdr:spPr>
    </xdr:pic>
    <xdr:clientData/>
  </xdr:twoCellAnchor>
  <xdr:twoCellAnchor editAs="oneCell">
    <xdr:from>
      <xdr:col>0</xdr:col>
      <xdr:colOff>885024</xdr:colOff>
      <xdr:row>43</xdr:row>
      <xdr:rowOff>129645</xdr:rowOff>
    </xdr:from>
    <xdr:to>
      <xdr:col>2</xdr:col>
      <xdr:colOff>535776</xdr:colOff>
      <xdr:row>47</xdr:row>
      <xdr:rowOff>22386</xdr:rowOff>
    </xdr:to>
    <xdr:pic>
      <xdr:nvPicPr>
        <xdr:cNvPr id="4" name="Imagen 7" descr="uab-log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024" y="7118614"/>
          <a:ext cx="3198815" cy="464241"/>
        </a:xfrm>
        <a:prstGeom prst="rect">
          <a:avLst/>
        </a:prstGeom>
      </xdr:spPr>
    </xdr:pic>
    <xdr:clientData/>
  </xdr:twoCellAnchor>
  <xdr:twoCellAnchor>
    <xdr:from>
      <xdr:col>2</xdr:col>
      <xdr:colOff>899584</xdr:colOff>
      <xdr:row>43</xdr:row>
      <xdr:rowOff>63501</xdr:rowOff>
    </xdr:from>
    <xdr:to>
      <xdr:col>4</xdr:col>
      <xdr:colOff>582083</xdr:colOff>
      <xdr:row>47</xdr:row>
      <xdr:rowOff>44068</xdr:rowOff>
    </xdr:to>
    <xdr:sp macro="" textlink="">
      <xdr:nvSpPr>
        <xdr:cNvPr id="5" name="CuadroTexto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42884" y="7016751"/>
          <a:ext cx="3225799" cy="55206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00000"/>
            </a:lnSpc>
            <a:spcBef>
              <a:spcPts val="300"/>
            </a:spcBef>
          </a:pPr>
          <a:r>
            <a:rPr lang="is-IS" sz="1500" b="1">
              <a:solidFill>
                <a:schemeClr val="bg1"/>
              </a:solidFill>
              <a:latin typeface="Arial"/>
              <a:cs typeface="Arial"/>
            </a:rPr>
            <a:t>Unitat de Personal Acadèmic</a:t>
          </a:r>
        </a:p>
        <a:p>
          <a:pPr>
            <a:lnSpc>
              <a:spcPct val="100000"/>
            </a:lnSpc>
            <a:spcBef>
              <a:spcPts val="300"/>
            </a:spcBef>
          </a:pPr>
          <a:r>
            <a:rPr lang="is-IS" sz="1500" b="0">
              <a:solidFill>
                <a:schemeClr val="bg1"/>
              </a:solidFill>
              <a:latin typeface="Arial"/>
              <a:cs typeface="Arial"/>
            </a:rPr>
            <a:t>Àrea de gestió de Persones</a:t>
          </a:r>
          <a:endParaRPr lang="ca-ES" sz="1500" b="0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963083</xdr:colOff>
      <xdr:row>4</xdr:row>
      <xdr:rowOff>52918</xdr:rowOff>
    </xdr:from>
    <xdr:to>
      <xdr:col>1</xdr:col>
      <xdr:colOff>184930</xdr:colOff>
      <xdr:row>4</xdr:row>
      <xdr:rowOff>116418</xdr:rowOff>
    </xdr:to>
    <xdr:sp macro="" textlink="">
      <xdr:nvSpPr>
        <xdr:cNvPr id="6" name="Rectángulo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63083" y="1062568"/>
          <a:ext cx="993497" cy="63500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ca-ES"/>
        </a:p>
      </xdr:txBody>
    </xdr:sp>
    <xdr:clientData/>
  </xdr:twoCellAnchor>
  <xdr:twoCellAnchor>
    <xdr:from>
      <xdr:col>0</xdr:col>
      <xdr:colOff>840317</xdr:colOff>
      <xdr:row>4</xdr:row>
      <xdr:rowOff>184152</xdr:rowOff>
    </xdr:from>
    <xdr:to>
      <xdr:col>4</xdr:col>
      <xdr:colOff>698500</xdr:colOff>
      <xdr:row>18</xdr:row>
      <xdr:rowOff>82201</xdr:rowOff>
    </xdr:to>
    <xdr:sp macro="" textlink="">
      <xdr:nvSpPr>
        <xdr:cNvPr id="7" name="CuadroTexto 1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40317" y="1193802"/>
          <a:ext cx="6944783" cy="220309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00000"/>
            </a:lnSpc>
            <a:spcBef>
              <a:spcPts val="500"/>
            </a:spcBef>
          </a:pPr>
          <a:r>
            <a:rPr lang="is-IS" sz="4800" b="1">
              <a:solidFill>
                <a:schemeClr val="bg1"/>
              </a:solidFill>
              <a:latin typeface="Arial"/>
              <a:cs typeface="Arial"/>
            </a:rPr>
            <a:t>Contractació de Personal Tècnic amb finançament específic</a:t>
          </a:r>
          <a:endParaRPr lang="ca-ES" sz="4800" b="1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727521</xdr:colOff>
      <xdr:row>44</xdr:row>
      <xdr:rowOff>10585</xdr:rowOff>
    </xdr:from>
    <xdr:to>
      <xdr:col>2</xdr:col>
      <xdr:colOff>773240</xdr:colOff>
      <xdr:row>46</xdr:row>
      <xdr:rowOff>132627</xdr:rowOff>
    </xdr:to>
    <xdr:sp macro="" textlink="">
      <xdr:nvSpPr>
        <xdr:cNvPr id="8" name="Rectángulo 1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5400000">
          <a:off x="4089785" y="7287746"/>
          <a:ext cx="407792" cy="45719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ca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17</xdr:row>
          <xdr:rowOff>28575</xdr:rowOff>
        </xdr:from>
        <xdr:to>
          <xdr:col>6</xdr:col>
          <xdr:colOff>1600200</xdr:colOff>
          <xdr:row>19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542925</xdr:colOff>
          <xdr:row>5</xdr:row>
          <xdr:rowOff>104775</xdr:rowOff>
        </xdr:from>
        <xdr:to>
          <xdr:col>6</xdr:col>
          <xdr:colOff>1609725</xdr:colOff>
          <xdr:row>7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1247775</xdr:colOff>
          <xdr:row>2</xdr:row>
          <xdr:rowOff>200025</xdr:rowOff>
        </xdr:from>
        <xdr:to>
          <xdr:col>3</xdr:col>
          <xdr:colOff>104775</xdr:colOff>
          <xdr:row>7</xdr:row>
          <xdr:rowOff>219075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>
                      <a:alpha val="33000"/>
                    </a:srgbClr>
                  </a:solidFill>
                </a14:hiddenFill>
              </a:ext>
              <a:ext uri="{91240B29-F687-4F45-9708-019B960494DF}">
                <a14:hiddenLine w="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66675</xdr:rowOff>
        </xdr:from>
        <xdr:to>
          <xdr:col>1</xdr:col>
          <xdr:colOff>304800</xdr:colOff>
          <xdr:row>5</xdr:row>
          <xdr:rowOff>66675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1752600</xdr:colOff>
          <xdr:row>5</xdr:row>
          <xdr:rowOff>190500</xdr:rowOff>
        </xdr:from>
        <xdr:to>
          <xdr:col>1</xdr:col>
          <xdr:colOff>266700</xdr:colOff>
          <xdr:row>6</xdr:row>
          <xdr:rowOff>219075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1884068</xdr:colOff>
      <xdr:row>0</xdr:row>
      <xdr:rowOff>127572</xdr:rowOff>
    </xdr:from>
    <xdr:to>
      <xdr:col>12</xdr:col>
      <xdr:colOff>166157</xdr:colOff>
      <xdr:row>0</xdr:row>
      <xdr:rowOff>538354</xdr:rowOff>
    </xdr:to>
    <xdr:sp macro="" textlink="">
      <xdr:nvSpPr>
        <xdr:cNvPr id="7" name="CuadroTexto 1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760243" y="127572"/>
          <a:ext cx="16674864" cy="41078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85000"/>
            </a:lnSpc>
          </a:pPr>
          <a:r>
            <a:rPr lang="is-IS" sz="2500" b="1">
              <a:solidFill>
                <a:srgbClr val="329222"/>
              </a:solidFill>
              <a:latin typeface="Arial"/>
              <a:cs typeface="Arial"/>
            </a:rPr>
            <a:t>Cost de la contractació de personal tècnic amb finançament específic</a:t>
          </a:r>
          <a:endParaRPr lang="ca-ES" sz="2500" b="1">
            <a:solidFill>
              <a:srgbClr val="329222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1629834</xdr:colOff>
      <xdr:row>12</xdr:row>
      <xdr:rowOff>43390</xdr:rowOff>
    </xdr:from>
    <xdr:to>
      <xdr:col>3</xdr:col>
      <xdr:colOff>338668</xdr:colOff>
      <xdr:row>26</xdr:row>
      <xdr:rowOff>328082</xdr:rowOff>
    </xdr:to>
    <xdr:sp macro="" textlink="">
      <xdr:nvSpPr>
        <xdr:cNvPr id="8" name="CuadroTexto 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629834" y="2938990"/>
          <a:ext cx="3499909" cy="29135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>
            <a:lnSpc>
              <a:spcPct val="115000"/>
            </a:lnSpc>
            <a:spcAft>
              <a:spcPts val="0"/>
            </a:spcAft>
          </a:pPr>
          <a:r>
            <a:rPr lang="ca-ES" sz="1100" b="1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Informació sobre el correcte ús del full</a:t>
          </a:r>
        </a:p>
        <a:p>
          <a:pPr>
            <a:lnSpc>
              <a:spcPct val="115000"/>
            </a:lnSpc>
            <a:spcAft>
              <a:spcPts val="0"/>
            </a:spcAft>
          </a:pPr>
          <a:endParaRPr lang="ca-ES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lvl="0" indent="-342900">
            <a:lnSpc>
              <a:spcPct val="115000"/>
            </a:lnSpc>
            <a:spcAft>
              <a:spcPts val="0"/>
            </a:spcAft>
            <a:buFont typeface="Wingdings" panose="05000000000000000000" pitchFamily="2" charset="2"/>
            <a:buChar char=""/>
          </a:pP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Habilitar les macro sempre quan s'obri el fitxer</a:t>
          </a:r>
          <a:endParaRPr lang="ca-ES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lvl="0" indent="-342900">
            <a:lnSpc>
              <a:spcPct val="115000"/>
            </a:lnSpc>
            <a:spcAft>
              <a:spcPts val="0"/>
            </a:spcAft>
            <a:buFont typeface="Wingdings" panose="05000000000000000000" pitchFamily="2" charset="2"/>
            <a:buChar char=""/>
          </a:pP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Les reserves de personal que cobra per </a:t>
          </a:r>
          <a:r>
            <a:rPr lang="ca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sobretaules</a:t>
          </a: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 o que supera la base màxima</a:t>
          </a:r>
          <a:r>
            <a:rPr lang="ca-ES" sz="1100" baseline="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 de cotització</a:t>
          </a: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, així com el personal tècnic que duu a terme tasques en un laboratori, s’han de calcular amb el model 2</a:t>
          </a:r>
          <a:endParaRPr lang="ca-ES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lvl="0" indent="-342900">
            <a:lnSpc>
              <a:spcPct val="115000"/>
            </a:lnSpc>
            <a:spcAft>
              <a:spcPts val="0"/>
            </a:spcAft>
            <a:buFont typeface="Wingdings" panose="05000000000000000000" pitchFamily="2" charset="2"/>
            <a:buChar char=""/>
          </a:pP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La base màxima de cotització és de 4909,50 €. Si el salari màxim supera aquest import, sempre s'aplicarà aquesta base</a:t>
          </a:r>
          <a:endParaRPr lang="ca-ES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lvl="0" indent="-342900">
            <a:lnSpc>
              <a:spcPct val="115000"/>
            </a:lnSpc>
            <a:spcAft>
              <a:spcPts val="0"/>
            </a:spcAft>
            <a:buFont typeface="Wingdings" panose="05000000000000000000" pitchFamily="2" charset="2"/>
            <a:buChar char=""/>
          </a:pPr>
          <a:r>
            <a:rPr lang="ca-ES" sz="1100">
              <a:solidFill>
                <a:srgbClr val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</a:rPr>
            <a:t>Si el treballador no té cap trienni, s'ha de deixar la casella Número de triennis (model 1) en blanc</a:t>
          </a:r>
          <a:endParaRPr lang="ca-ES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1502229</xdr:colOff>
      <xdr:row>116</xdr:row>
      <xdr:rowOff>39158</xdr:rowOff>
    </xdr:to>
    <xdr:pic>
      <xdr:nvPicPr>
        <xdr:cNvPr id="9" name="Imagen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02229" cy="79544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166781</xdr:rowOff>
    </xdr:from>
    <xdr:to>
      <xdr:col>0</xdr:col>
      <xdr:colOff>1473443</xdr:colOff>
      <xdr:row>33</xdr:row>
      <xdr:rowOff>64705</xdr:rowOff>
    </xdr:to>
    <xdr:pic>
      <xdr:nvPicPr>
        <xdr:cNvPr id="10" name="Imagen 3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12" t="15805" r="17006" b="15705"/>
        <a:stretch/>
      </xdr:blipFill>
      <xdr:spPr>
        <a:xfrm>
          <a:off x="0" y="6605681"/>
          <a:ext cx="1470268" cy="739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</xdr:row>
          <xdr:rowOff>28575</xdr:rowOff>
        </xdr:from>
        <xdr:to>
          <xdr:col>9</xdr:col>
          <xdr:colOff>342900</xdr:colOff>
          <xdr:row>6</xdr:row>
          <xdr:rowOff>295275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1676400</xdr:colOff>
          <xdr:row>4</xdr:row>
          <xdr:rowOff>28575</xdr:rowOff>
        </xdr:from>
        <xdr:to>
          <xdr:col>1</xdr:col>
          <xdr:colOff>219075</xdr:colOff>
          <xdr:row>5</xdr:row>
          <xdr:rowOff>28575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1666875</xdr:colOff>
          <xdr:row>6</xdr:row>
          <xdr:rowOff>142875</xdr:rowOff>
        </xdr:from>
        <xdr:to>
          <xdr:col>1</xdr:col>
          <xdr:colOff>219075</xdr:colOff>
          <xdr:row>6</xdr:row>
          <xdr:rowOff>352425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1</xdr:rowOff>
    </xdr:from>
    <xdr:to>
      <xdr:col>0</xdr:col>
      <xdr:colOff>1502229</xdr:colOff>
      <xdr:row>46</xdr:row>
      <xdr:rowOff>31750</xdr:rowOff>
    </xdr:to>
    <xdr:pic>
      <xdr:nvPicPr>
        <xdr:cNvPr id="6" name="Imagen 1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502229" cy="78708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47188</xdr:rowOff>
    </xdr:from>
    <xdr:to>
      <xdr:col>0</xdr:col>
      <xdr:colOff>1470268</xdr:colOff>
      <xdr:row>42</xdr:row>
      <xdr:rowOff>21168</xdr:rowOff>
    </xdr:to>
    <xdr:pic>
      <xdr:nvPicPr>
        <xdr:cNvPr id="7" name="Imagen 1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12" t="15805" r="17006" b="15705"/>
        <a:stretch/>
      </xdr:blipFill>
      <xdr:spPr>
        <a:xfrm>
          <a:off x="0" y="6600388"/>
          <a:ext cx="1470268" cy="68835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126996</xdr:rowOff>
    </xdr:from>
    <xdr:to>
      <xdr:col>18</xdr:col>
      <xdr:colOff>363831</xdr:colOff>
      <xdr:row>0</xdr:row>
      <xdr:rowOff>537778</xdr:rowOff>
    </xdr:to>
    <xdr:sp macro="" textlink="">
      <xdr:nvSpPr>
        <xdr:cNvPr id="8" name="CuadroTexto 1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762125" y="126996"/>
          <a:ext cx="14708481" cy="41078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85000"/>
            </a:lnSpc>
          </a:pPr>
          <a:r>
            <a:rPr lang="is-IS" sz="2500" b="1">
              <a:solidFill>
                <a:srgbClr val="329222"/>
              </a:solidFill>
              <a:latin typeface="Arial"/>
              <a:cs typeface="Arial"/>
            </a:rPr>
            <a:t>Cost de les indemnitzacions i de</a:t>
          </a:r>
          <a:r>
            <a:rPr lang="is-IS" sz="2500" b="1" baseline="0">
              <a:solidFill>
                <a:srgbClr val="329222"/>
              </a:solidFill>
              <a:latin typeface="Arial"/>
              <a:cs typeface="Arial"/>
            </a:rPr>
            <a:t> les vacances a liquidar</a:t>
          </a:r>
          <a:endParaRPr lang="ca-ES" sz="2500" b="1">
            <a:solidFill>
              <a:srgbClr val="329222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232833</xdr:colOff>
      <xdr:row>4</xdr:row>
      <xdr:rowOff>63501</xdr:rowOff>
    </xdr:from>
    <xdr:to>
      <xdr:col>5</xdr:col>
      <xdr:colOff>350520</xdr:colOff>
      <xdr:row>8</xdr:row>
      <xdr:rowOff>188596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291168"/>
          <a:ext cx="5398770" cy="11410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1502229</xdr:colOff>
      <xdr:row>35</xdr:row>
      <xdr:rowOff>116417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02229" cy="80528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69808</xdr:rowOff>
    </xdr:from>
    <xdr:to>
      <xdr:col>0</xdr:col>
      <xdr:colOff>1476618</xdr:colOff>
      <xdr:row>31</xdr:row>
      <xdr:rowOff>47618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12" t="15805" r="17006" b="15705"/>
        <a:stretch/>
      </xdr:blipFill>
      <xdr:spPr>
        <a:xfrm>
          <a:off x="0" y="7099258"/>
          <a:ext cx="1470268" cy="727109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8</xdr:col>
      <xdr:colOff>1072914</xdr:colOff>
      <xdr:row>3</xdr:row>
      <xdr:rowOff>50949</xdr:rowOff>
    </xdr:to>
    <xdr:sp macro="" textlink="">
      <xdr:nvSpPr>
        <xdr:cNvPr id="4" name="CuadroTexto 1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771650" y="142875"/>
          <a:ext cx="15446139" cy="39384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_tradnl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85000"/>
            </a:lnSpc>
          </a:pPr>
          <a:r>
            <a:rPr lang="is-IS" sz="2500" b="1">
              <a:solidFill>
                <a:srgbClr val="329222"/>
              </a:solidFill>
              <a:latin typeface="Arial"/>
              <a:cs typeface="Arial"/>
            </a:rPr>
            <a:t>Taules de retribucions del personal de suport a la recerca</a:t>
          </a:r>
          <a:endParaRPr lang="ca-ES" sz="2500" b="1">
            <a:solidFill>
              <a:srgbClr val="329222"/>
            </a:solidFill>
            <a:latin typeface="Arial"/>
            <a:cs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1352421/Desktop/Plantilla%20t&#232;cnics_WIP-1%20-%20Copia.xlsm" TargetMode="External"/><Relationship Id="rId1" Type="http://schemas.openxmlformats.org/officeDocument/2006/relationships/externalLinkPath" Target="/Users/1352421/Desktop/Plantilla%20t&#232;cnics_WIP-1%20-%20Cop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Càlcul Cost Contractació "/>
      <sheetName val="Càlcul Indemnització - Vacances"/>
      <sheetName val="Informació Retribucions"/>
      <sheetName val="Hoja2"/>
      <sheetName val="Hoja1"/>
      <sheetName val="Desplegables"/>
    </sheetNames>
    <sheetDataSet>
      <sheetData sheetId="0"/>
      <sheetData sheetId="1" refreshError="1"/>
      <sheetData sheetId="2" refreshError="1"/>
      <sheetData sheetId="3">
        <row r="5">
          <cell r="C5" t="str">
            <v>Grup</v>
          </cell>
          <cell r="D5" t="str">
            <v>Retribució bruta anual (37,5h/s)</v>
          </cell>
          <cell r="E5" t="str">
            <v>Retribució bruta mensual (37,5h/s)</v>
          </cell>
        </row>
        <row r="6">
          <cell r="C6" t="str">
            <v>1 - Q</v>
          </cell>
          <cell r="D6">
            <v>34380.06</v>
          </cell>
          <cell r="E6">
            <v>2865.01</v>
          </cell>
        </row>
        <row r="7">
          <cell r="C7" t="str">
            <v>2 - L</v>
          </cell>
          <cell r="D7">
            <v>33657.440000000002</v>
          </cell>
          <cell r="E7">
            <v>2804.79</v>
          </cell>
          <cell r="F7">
            <v>50.36</v>
          </cell>
        </row>
        <row r="8">
          <cell r="C8" t="str">
            <v>2 - O</v>
          </cell>
          <cell r="D8">
            <v>31632.799999999999</v>
          </cell>
          <cell r="E8">
            <v>2636.07</v>
          </cell>
          <cell r="F8">
            <v>50.36</v>
          </cell>
        </row>
        <row r="9">
          <cell r="C9" t="str">
            <v>2 - Q</v>
          </cell>
          <cell r="D9">
            <v>30212.26</v>
          </cell>
          <cell r="E9">
            <v>2517.69</v>
          </cell>
          <cell r="F9">
            <v>50.36</v>
          </cell>
        </row>
        <row r="10">
          <cell r="C10" t="str">
            <v>3 - L</v>
          </cell>
          <cell r="D10">
            <v>30155.82</v>
          </cell>
          <cell r="E10">
            <v>2512.9899999999998</v>
          </cell>
          <cell r="F10">
            <v>50.36</v>
          </cell>
        </row>
        <row r="11">
          <cell r="C11" t="str">
            <v>3 - O</v>
          </cell>
          <cell r="D11">
            <v>28131.360000000001</v>
          </cell>
          <cell r="E11">
            <v>2344.2800000000002</v>
          </cell>
          <cell r="F11">
            <v>50.36</v>
          </cell>
        </row>
        <row r="12">
          <cell r="C12" t="str">
            <v>3 - Q</v>
          </cell>
          <cell r="D12">
            <v>26710.74</v>
          </cell>
          <cell r="E12">
            <v>2225.9</v>
          </cell>
          <cell r="F12">
            <v>50.36</v>
          </cell>
        </row>
        <row r="13">
          <cell r="C13" t="str">
            <v>4 - P</v>
          </cell>
          <cell r="D13">
            <v>22163.4</v>
          </cell>
          <cell r="E13">
            <v>1846.95</v>
          </cell>
          <cell r="F13">
            <v>50.36</v>
          </cell>
        </row>
      </sheetData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3.emf"/><Relationship Id="rId4" Type="http://schemas.openxmlformats.org/officeDocument/2006/relationships/package" Target="../embeddings/Microsoft_Word_Document.docx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ull4">
    <tabColor theme="1"/>
  </sheetPr>
  <dimension ref="B2:F30"/>
  <sheetViews>
    <sheetView showGridLines="0" zoomScale="70" zoomScaleNormal="70" workbookViewId="0">
      <selection activeCell="A58" sqref="A58"/>
    </sheetView>
  </sheetViews>
  <sheetFormatPr defaultColWidth="31" defaultRowHeight="11.25" x14ac:dyDescent="0.2"/>
  <cols>
    <col min="1" max="16384" width="31" style="1"/>
  </cols>
  <sheetData>
    <row r="2" spans="2:6" ht="15.75" x14ac:dyDescent="0.25">
      <c r="B2" s="136"/>
      <c r="C2" s="136"/>
      <c r="D2" s="136"/>
      <c r="E2" s="136"/>
      <c r="F2" s="136"/>
    </row>
    <row r="3" spans="2:6" x14ac:dyDescent="0.2">
      <c r="B3" s="137"/>
      <c r="C3" s="137"/>
      <c r="D3" s="137"/>
      <c r="E3" s="137"/>
      <c r="F3" s="137"/>
    </row>
    <row r="4" spans="2:6" ht="41.25" customHeight="1" x14ac:dyDescent="0.2"/>
    <row r="5" spans="2:6" ht="30.75" customHeight="1" x14ac:dyDescent="0.2">
      <c r="B5" s="2"/>
      <c r="C5" s="2"/>
      <c r="D5" s="2"/>
      <c r="E5" s="2"/>
      <c r="F5" s="2"/>
    </row>
    <row r="6" spans="2:6" ht="12" x14ac:dyDescent="0.2">
      <c r="B6" s="2"/>
      <c r="C6" s="2"/>
      <c r="D6" s="2"/>
      <c r="E6" s="2"/>
      <c r="F6" s="2"/>
    </row>
    <row r="7" spans="2:6" ht="12" x14ac:dyDescent="0.2">
      <c r="B7" s="2"/>
      <c r="C7" s="2"/>
      <c r="D7" s="2"/>
      <c r="E7" s="2"/>
      <c r="F7" s="2"/>
    </row>
    <row r="8" spans="2:6" ht="12" x14ac:dyDescent="0.2">
      <c r="B8" s="2"/>
      <c r="C8" s="2"/>
      <c r="D8" s="2"/>
      <c r="E8" s="2"/>
      <c r="F8" s="2"/>
    </row>
    <row r="9" spans="2:6" ht="12" x14ac:dyDescent="0.2">
      <c r="B9" s="2"/>
      <c r="C9" s="2"/>
      <c r="D9" s="2"/>
      <c r="E9" s="2"/>
      <c r="F9" s="2"/>
    </row>
    <row r="10" spans="2:6" ht="12" x14ac:dyDescent="0.2">
      <c r="B10" s="2"/>
      <c r="C10" s="2"/>
      <c r="D10" s="2"/>
      <c r="E10" s="2"/>
      <c r="F10" s="2"/>
    </row>
    <row r="11" spans="2:6" ht="12" x14ac:dyDescent="0.2">
      <c r="B11" s="2"/>
      <c r="C11" s="2"/>
      <c r="D11" s="2"/>
      <c r="E11" s="2"/>
      <c r="F11" s="2"/>
    </row>
    <row r="24" spans="6:6" ht="12" x14ac:dyDescent="0.2">
      <c r="F24" s="3"/>
    </row>
    <row r="25" spans="6:6" ht="12" x14ac:dyDescent="0.2">
      <c r="F25" s="2"/>
    </row>
    <row r="26" spans="6:6" ht="12" x14ac:dyDescent="0.2">
      <c r="F26" s="3"/>
    </row>
    <row r="27" spans="6:6" ht="12" x14ac:dyDescent="0.2">
      <c r="F27" s="2"/>
    </row>
    <row r="28" spans="6:6" ht="12" x14ac:dyDescent="0.2">
      <c r="F28" s="2"/>
    </row>
    <row r="29" spans="6:6" ht="12" x14ac:dyDescent="0.2">
      <c r="F29" s="2"/>
    </row>
    <row r="30" spans="6:6" ht="12" x14ac:dyDescent="0.2">
      <c r="F30" s="2"/>
    </row>
  </sheetData>
  <sheetProtection selectLockedCells="1" selectUnlockedCells="1"/>
  <mergeCells count="2">
    <mergeCell ref="B2:F2"/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ull3">
    <tabColor theme="1"/>
  </sheetPr>
  <dimension ref="A1:GY128"/>
  <sheetViews>
    <sheetView showGridLines="0" tabSelected="1" zoomScale="90" zoomScaleNormal="90" workbookViewId="0">
      <selection activeCell="F19" sqref="F19"/>
    </sheetView>
  </sheetViews>
  <sheetFormatPr defaultColWidth="12" defaultRowHeight="11.25" x14ac:dyDescent="0.2"/>
  <cols>
    <col min="1" max="1" width="30.83203125" style="33" customWidth="1"/>
    <col min="2" max="2" width="26.6640625" style="33" customWidth="1"/>
    <col min="3" max="3" width="26.1640625" style="33" customWidth="1"/>
    <col min="4" max="4" width="10.33203125" style="33" customWidth="1"/>
    <col min="5" max="5" width="29" style="79" customWidth="1"/>
    <col min="6" max="6" width="22.1640625" style="79" customWidth="1"/>
    <col min="7" max="7" width="38.1640625" style="79" bestFit="1" customWidth="1"/>
    <col min="8" max="8" width="51" style="79" bestFit="1" customWidth="1"/>
    <col min="9" max="9" width="23.33203125" style="33" customWidth="1"/>
    <col min="10" max="10" width="19.33203125" style="33" customWidth="1"/>
    <col min="11" max="11" width="20.83203125" style="79" customWidth="1"/>
    <col min="12" max="12" width="21.1640625" style="79" bestFit="1" customWidth="1"/>
    <col min="13" max="13" width="29.1640625" style="79" customWidth="1"/>
    <col min="14" max="14" width="22.1640625" style="79" customWidth="1"/>
    <col min="15" max="15" width="17.6640625" style="33" bestFit="1" customWidth="1"/>
    <col min="16" max="16" width="20.6640625" style="33" bestFit="1" customWidth="1"/>
    <col min="17" max="17" width="32" style="33" bestFit="1" customWidth="1"/>
    <col min="18" max="18" width="21.1640625" style="33" bestFit="1" customWidth="1"/>
    <col min="19" max="19" width="29.1640625" style="33" bestFit="1" customWidth="1"/>
    <col min="20" max="20" width="20.1640625" style="33" bestFit="1" customWidth="1"/>
    <col min="21" max="21" width="17.83203125" style="33" bestFit="1" customWidth="1"/>
    <col min="22" max="22" width="13.6640625" style="33" customWidth="1"/>
    <col min="23" max="23" width="7.6640625" style="33" bestFit="1" customWidth="1"/>
    <col min="24" max="24" width="17.83203125" style="33" bestFit="1" customWidth="1"/>
    <col min="25" max="25" width="15.1640625" style="33" bestFit="1" customWidth="1"/>
    <col min="26" max="16384" width="12" style="33"/>
  </cols>
  <sheetData>
    <row r="1" spans="1:207" ht="62.25" customHeight="1" x14ac:dyDescent="0.2">
      <c r="A1" s="31"/>
      <c r="B1" s="31"/>
      <c r="C1" s="31"/>
      <c r="D1" s="31"/>
      <c r="E1" s="32"/>
      <c r="F1" s="32"/>
      <c r="G1" s="32"/>
      <c r="H1" s="32"/>
      <c r="I1" s="31"/>
      <c r="J1" s="31"/>
      <c r="K1" s="32"/>
      <c r="L1" s="32"/>
      <c r="M1" s="32"/>
      <c r="N1" s="32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</row>
    <row r="2" spans="1:207" x14ac:dyDescent="0.2">
      <c r="A2" s="31"/>
      <c r="B2" s="130"/>
      <c r="C2" s="31"/>
      <c r="D2" s="31"/>
      <c r="E2" s="32"/>
      <c r="F2" s="32"/>
      <c r="G2" s="32"/>
      <c r="H2" s="32"/>
      <c r="I2" s="31"/>
      <c r="J2" s="31"/>
      <c r="K2" s="32"/>
      <c r="L2" s="32"/>
      <c r="M2" s="32"/>
      <c r="N2" s="32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</row>
    <row r="3" spans="1:207" s="37" customFormat="1" ht="17.25" thickBot="1" x14ac:dyDescent="0.25">
      <c r="A3" s="34"/>
      <c r="B3" s="133" t="s">
        <v>0</v>
      </c>
      <c r="C3" s="133"/>
      <c r="D3" s="34"/>
      <c r="E3" s="133" t="s">
        <v>1</v>
      </c>
      <c r="F3" s="133"/>
      <c r="G3" s="35"/>
      <c r="H3" s="133" t="s">
        <v>2</v>
      </c>
      <c r="I3" s="133"/>
      <c r="J3" s="36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</row>
    <row r="4" spans="1:207" s="37" customFormat="1" ht="6" customHeight="1" x14ac:dyDescent="0.2">
      <c r="A4" s="34"/>
      <c r="B4" s="38"/>
      <c r="C4" s="38"/>
      <c r="D4" s="34"/>
      <c r="E4" s="34"/>
      <c r="F4" s="39"/>
      <c r="G4" s="34"/>
      <c r="H4" s="34"/>
      <c r="I4" s="39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</row>
    <row r="5" spans="1:207" s="37" customFormat="1" ht="18" customHeight="1" x14ac:dyDescent="0.2">
      <c r="A5" s="34"/>
      <c r="B5" s="34"/>
      <c r="C5" s="34"/>
      <c r="D5" s="40"/>
      <c r="E5" s="41" t="s">
        <v>3</v>
      </c>
      <c r="F5" s="4"/>
      <c r="G5" s="42"/>
      <c r="H5" s="43" t="s">
        <v>4</v>
      </c>
      <c r="I5" s="5"/>
      <c r="J5" s="4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</row>
    <row r="6" spans="1:207" s="37" customFormat="1" ht="18" customHeight="1" x14ac:dyDescent="0.2">
      <c r="A6" s="34"/>
      <c r="B6" s="34"/>
      <c r="C6" s="34"/>
      <c r="D6" s="34"/>
      <c r="E6" s="45" t="s">
        <v>5</v>
      </c>
      <c r="F6" s="6"/>
      <c r="G6" s="35"/>
      <c r="H6" s="46" t="s">
        <v>5</v>
      </c>
      <c r="I6" s="6"/>
      <c r="J6" s="4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</row>
    <row r="7" spans="1:207" s="37" customFormat="1" ht="18" customHeight="1" x14ac:dyDescent="0.2">
      <c r="A7" s="34"/>
      <c r="B7" s="34"/>
      <c r="C7" s="34"/>
      <c r="D7" s="34"/>
      <c r="E7" s="47"/>
      <c r="F7" s="47"/>
      <c r="G7" s="35"/>
      <c r="H7" s="48" t="s">
        <v>6</v>
      </c>
      <c r="I7" s="7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</row>
    <row r="8" spans="1:207" s="37" customFormat="1" ht="18" customHeight="1" x14ac:dyDescent="0.2">
      <c r="A8" s="34"/>
      <c r="B8" s="34"/>
      <c r="C8" s="34"/>
      <c r="D8" s="34"/>
      <c r="E8" s="135" t="s">
        <v>7</v>
      </c>
      <c r="F8" s="135"/>
      <c r="G8" s="34"/>
      <c r="H8" s="49"/>
      <c r="I8" s="50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</row>
    <row r="9" spans="1:207" s="37" customFormat="1" ht="15.75" x14ac:dyDescent="0.2">
      <c r="A9" s="34"/>
      <c r="B9" s="51"/>
      <c r="C9" s="34"/>
      <c r="D9" s="34"/>
      <c r="E9" s="132">
        <f>IF(OR(F5="",F6=""),0,ROUND(((VLOOKUP(F5,H76:I82,2,0))/35*F6),2))</f>
        <v>0</v>
      </c>
      <c r="F9" s="132"/>
      <c r="G9" s="35"/>
      <c r="H9" s="135" t="s">
        <v>7</v>
      </c>
      <c r="I9" s="135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</row>
    <row r="10" spans="1:207" s="37" customFormat="1" ht="18" customHeight="1" x14ac:dyDescent="0.2">
      <c r="A10" s="34"/>
      <c r="B10" s="51"/>
      <c r="C10" s="34"/>
      <c r="D10" s="34"/>
      <c r="E10" s="34"/>
      <c r="F10" s="34"/>
      <c r="G10" s="35"/>
      <c r="H10" s="132">
        <f>IF(OR(I5="",I6="",I7=""),0,ROUND((VLOOKUP(I5,'[1]Informació Retribucions'!C:F,4,0)/35*'Càlcul Cost Contractació '!I6*'Càlcul Cost Contractació '!I7),2))</f>
        <v>0</v>
      </c>
      <c r="I10" s="132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</row>
    <row r="11" spans="1:207" s="37" customFormat="1" ht="14.25" x14ac:dyDescent="0.2">
      <c r="A11" s="34"/>
      <c r="B11" s="51"/>
      <c r="C11" s="34"/>
      <c r="D11" s="34"/>
      <c r="E11" s="34"/>
      <c r="F11" s="34"/>
      <c r="G11" s="35"/>
      <c r="H11" s="52"/>
      <c r="I11" s="47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</row>
    <row r="12" spans="1:207" s="37" customFormat="1" x14ac:dyDescent="0.2">
      <c r="A12" s="34"/>
      <c r="B12" s="51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</row>
    <row r="13" spans="1:207" s="37" customFormat="1" ht="17.25" thickBot="1" x14ac:dyDescent="0.25">
      <c r="A13" s="34"/>
      <c r="B13" s="51"/>
      <c r="C13" s="34"/>
      <c r="D13" s="34"/>
      <c r="E13" s="133" t="s">
        <v>8</v>
      </c>
      <c r="F13" s="133"/>
      <c r="G13" s="133"/>
      <c r="H13" s="133"/>
      <c r="I13" s="1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</row>
    <row r="14" spans="1:207" s="37" customFormat="1" x14ac:dyDescent="0.2">
      <c r="A14" s="34"/>
      <c r="B14" s="51"/>
      <c r="C14" s="34"/>
      <c r="D14" s="34"/>
      <c r="E14" s="32"/>
      <c r="F14" s="32"/>
      <c r="G14" s="32"/>
      <c r="H14" s="32"/>
      <c r="I14" s="31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</row>
    <row r="15" spans="1:207" s="37" customFormat="1" ht="17.25" thickBot="1" x14ac:dyDescent="0.25">
      <c r="A15" s="34"/>
      <c r="B15" s="34"/>
      <c r="C15" s="34"/>
      <c r="D15" s="34"/>
      <c r="E15" s="133" t="s">
        <v>9</v>
      </c>
      <c r="F15" s="133"/>
      <c r="G15" s="32"/>
      <c r="H15" s="133" t="s">
        <v>10</v>
      </c>
      <c r="I15" s="1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</row>
    <row r="16" spans="1:207" s="37" customFormat="1" ht="6" customHeight="1" x14ac:dyDescent="0.2">
      <c r="A16" s="34"/>
      <c r="B16" s="34"/>
      <c r="C16" s="34"/>
      <c r="D16" s="34"/>
      <c r="E16" s="53"/>
      <c r="F16" s="53"/>
      <c r="G16" s="32"/>
      <c r="H16" s="53"/>
      <c r="I16" s="5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</row>
    <row r="17" spans="1:207" s="37" customFormat="1" ht="18" customHeight="1" x14ac:dyDescent="0.2">
      <c r="A17" s="34"/>
      <c r="B17" s="51"/>
      <c r="C17" s="34"/>
      <c r="D17" s="34"/>
      <c r="E17" s="55" t="s">
        <v>3</v>
      </c>
      <c r="F17" s="4" t="s">
        <v>11</v>
      </c>
      <c r="G17" s="56"/>
      <c r="H17" s="57" t="s">
        <v>12</v>
      </c>
      <c r="I17" s="8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</row>
    <row r="18" spans="1:207" s="37" customFormat="1" ht="18" customHeight="1" x14ac:dyDescent="0.2">
      <c r="A18" s="34"/>
      <c r="B18" s="34"/>
      <c r="C18" s="34"/>
      <c r="D18" s="34"/>
      <c r="E18" s="58" t="s">
        <v>5</v>
      </c>
      <c r="F18" s="9"/>
      <c r="G18" s="32"/>
      <c r="H18" s="59" t="s">
        <v>5</v>
      </c>
      <c r="I18" s="9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</row>
    <row r="19" spans="1:207" s="37" customFormat="1" ht="18" customHeight="1" x14ac:dyDescent="0.2">
      <c r="A19" s="34"/>
      <c r="B19" s="34"/>
      <c r="C19" s="34"/>
      <c r="D19" s="34"/>
      <c r="E19" s="58" t="s">
        <v>6</v>
      </c>
      <c r="F19" s="9"/>
      <c r="G19" s="56"/>
      <c r="H19" s="59" t="s">
        <v>13</v>
      </c>
      <c r="I19" s="10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</row>
    <row r="20" spans="1:207" ht="18" customHeight="1" x14ac:dyDescent="0.2">
      <c r="A20" s="31"/>
      <c r="B20" s="31"/>
      <c r="C20" s="31"/>
      <c r="D20" s="31"/>
      <c r="E20" s="46" t="s">
        <v>13</v>
      </c>
      <c r="F20" s="10"/>
      <c r="G20" s="56"/>
      <c r="H20" s="60" t="s">
        <v>14</v>
      </c>
      <c r="I20" s="10"/>
      <c r="J20" s="31"/>
      <c r="K20" s="32"/>
      <c r="L20" s="32"/>
      <c r="M20" s="32"/>
      <c r="N20" s="32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</row>
    <row r="21" spans="1:207" ht="18" customHeight="1" x14ac:dyDescent="0.2">
      <c r="A21" s="31"/>
      <c r="B21" s="31"/>
      <c r="C21" s="31"/>
      <c r="D21" s="31"/>
      <c r="E21" s="61" t="s">
        <v>14</v>
      </c>
      <c r="F21" s="10"/>
      <c r="G21" s="56"/>
      <c r="H21" s="62" t="s">
        <v>15</v>
      </c>
      <c r="I21" s="10"/>
      <c r="J21" s="31"/>
      <c r="K21" s="32"/>
      <c r="L21" s="32"/>
      <c r="M21" s="32"/>
      <c r="N21" s="32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</row>
    <row r="22" spans="1:207" ht="18" customHeight="1" x14ac:dyDescent="0.2">
      <c r="A22" s="31"/>
      <c r="B22" s="31"/>
      <c r="C22" s="31"/>
      <c r="D22" s="63"/>
      <c r="E22" s="64" t="s">
        <v>15</v>
      </c>
      <c r="F22" s="10"/>
      <c r="G22" s="32"/>
      <c r="H22" s="65" t="s">
        <v>16</v>
      </c>
      <c r="I22" s="10"/>
      <c r="J22" s="31"/>
      <c r="K22" s="32"/>
      <c r="L22" s="32"/>
      <c r="M22" s="32"/>
      <c r="N22" s="32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</row>
    <row r="23" spans="1:207" ht="18" hidden="1" customHeight="1" x14ac:dyDescent="0.2">
      <c r="A23" s="31"/>
      <c r="B23" s="31"/>
      <c r="C23" s="31"/>
      <c r="D23" s="31"/>
      <c r="E23" s="64" t="s">
        <v>16</v>
      </c>
      <c r="F23" s="10" t="s">
        <v>17</v>
      </c>
      <c r="G23" s="32"/>
      <c r="H23" s="66"/>
      <c r="I23" s="66"/>
      <c r="J23" s="31"/>
      <c r="K23" s="32"/>
      <c r="L23" s="32"/>
      <c r="M23" s="32"/>
      <c r="N23" s="32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</row>
    <row r="24" spans="1:207" x14ac:dyDescent="0.2">
      <c r="A24" s="31"/>
      <c r="B24" s="31"/>
      <c r="C24" s="31"/>
      <c r="D24" s="31"/>
      <c r="E24" s="67"/>
      <c r="F24" s="32"/>
      <c r="G24" s="32"/>
      <c r="H24" s="66"/>
      <c r="I24" s="66"/>
      <c r="J24" s="31"/>
      <c r="K24" s="32"/>
      <c r="L24" s="32"/>
      <c r="M24" s="32"/>
      <c r="N24" s="32"/>
      <c r="O24" s="31"/>
      <c r="P24" s="31"/>
      <c r="Q24" s="31"/>
      <c r="R24" s="31"/>
      <c r="S24" s="31"/>
      <c r="T24" s="31"/>
      <c r="U24" s="31"/>
      <c r="V24" s="32"/>
      <c r="W24" s="32"/>
      <c r="X24" s="32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</row>
    <row r="25" spans="1:207" x14ac:dyDescent="0.2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2"/>
      <c r="L25" s="32"/>
      <c r="M25" s="32"/>
      <c r="N25" s="32"/>
      <c r="O25" s="31"/>
      <c r="P25" s="31"/>
      <c r="Q25" s="31"/>
      <c r="R25" s="31"/>
      <c r="S25" s="31"/>
      <c r="T25" s="31"/>
      <c r="U25" s="31"/>
      <c r="V25" s="32"/>
      <c r="W25" s="32"/>
      <c r="X25" s="32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</row>
    <row r="26" spans="1:207" ht="17.25" thickBot="1" x14ac:dyDescent="0.25">
      <c r="A26" s="31"/>
      <c r="B26" s="31"/>
      <c r="C26" s="31"/>
      <c r="D26" s="31"/>
      <c r="E26" s="68" t="s">
        <v>18</v>
      </c>
      <c r="F26" s="69"/>
      <c r="G26" s="69"/>
      <c r="H26" s="69"/>
      <c r="I26" s="69"/>
      <c r="J26" s="31"/>
      <c r="K26" s="32"/>
      <c r="L26" s="32"/>
      <c r="M26" s="32"/>
      <c r="N26" s="32"/>
      <c r="O26" s="31"/>
      <c r="P26" s="31"/>
      <c r="Q26" s="31"/>
      <c r="R26" s="31"/>
      <c r="S26" s="31"/>
      <c r="T26" s="31"/>
      <c r="U26" s="31"/>
      <c r="V26" s="32"/>
      <c r="W26" s="32"/>
      <c r="X26" s="32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</row>
    <row r="27" spans="1:207" ht="15" x14ac:dyDescent="0.2">
      <c r="A27" s="31"/>
      <c r="B27" s="31"/>
      <c r="C27" s="31"/>
      <c r="D27" s="31"/>
      <c r="E27" s="32"/>
      <c r="F27" s="70"/>
      <c r="G27" s="71"/>
      <c r="H27" s="71"/>
      <c r="I27" s="72"/>
      <c r="J27" s="31"/>
      <c r="K27" s="32"/>
      <c r="L27" s="32"/>
      <c r="M27" s="32"/>
      <c r="N27" s="32"/>
      <c r="O27" s="31"/>
      <c r="P27" s="31"/>
      <c r="Q27" s="31"/>
      <c r="R27" s="31"/>
      <c r="S27" s="31"/>
      <c r="T27" s="31"/>
      <c r="U27" s="31"/>
      <c r="V27" s="31"/>
      <c r="W27" s="32"/>
      <c r="X27" s="32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</row>
    <row r="28" spans="1:207" ht="31.5" x14ac:dyDescent="0.2">
      <c r="A28" s="31"/>
      <c r="B28" s="31"/>
      <c r="C28" s="31"/>
      <c r="D28" s="31"/>
      <c r="E28" s="11" t="s">
        <v>19</v>
      </c>
      <c r="F28" s="12" t="s">
        <v>20</v>
      </c>
      <c r="G28" s="12" t="s">
        <v>21</v>
      </c>
      <c r="H28" s="12" t="s">
        <v>22</v>
      </c>
      <c r="I28" s="13" t="s">
        <v>23</v>
      </c>
      <c r="J28" s="73"/>
      <c r="K28" s="32"/>
      <c r="L28" s="32"/>
      <c r="M28" s="32"/>
      <c r="N28" s="32"/>
      <c r="O28" s="31"/>
      <c r="P28" s="31"/>
      <c r="Q28" s="31"/>
      <c r="R28" s="31"/>
      <c r="S28" s="31"/>
      <c r="T28" s="31"/>
      <c r="U28" s="31"/>
      <c r="V28" s="31"/>
      <c r="W28" s="32"/>
      <c r="X28" s="32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</row>
    <row r="29" spans="1:207" ht="15" x14ac:dyDescent="0.2">
      <c r="A29" s="31"/>
      <c r="B29" s="31"/>
      <c r="C29" s="31"/>
      <c r="D29" s="31"/>
      <c r="E29" s="14">
        <f>IF(AND(I17="",F17=""),0,IF(AND(I60=0,O60=0),0,IF(I60&lt;&gt;0,I60,O60)))</f>
        <v>0</v>
      </c>
      <c r="F29" s="14">
        <f>IF(AND(I17="",F17=""),0,IF(AND(J60=0,P60=0),0,IF(J60&lt;&gt;0,J60,P60)))</f>
        <v>0</v>
      </c>
      <c r="G29" s="14">
        <f>IF(AND(I17="",F17=""),0,IF(AND(K60=0,Q60=0),0,IF(K60&lt;&gt;0,K60,Q60)))</f>
        <v>0</v>
      </c>
      <c r="H29" s="14">
        <f>IF(F23="Sí",ROUND(449.1/365/35*F18*(F21-F20+1),2),IF(I22="Sí",ROUND(449.1/365/35*I18*(I20-I19+1),2),))</f>
        <v>0</v>
      </c>
      <c r="I29" s="15">
        <f>SUM(E29:H29)</f>
        <v>0</v>
      </c>
      <c r="J29" s="74"/>
      <c r="K29" s="32"/>
      <c r="L29" s="32"/>
      <c r="M29" s="32"/>
      <c r="N29" s="32"/>
      <c r="O29" s="31"/>
      <c r="P29" s="31"/>
      <c r="Q29" s="31"/>
      <c r="R29" s="31"/>
      <c r="S29" s="31"/>
      <c r="T29" s="31"/>
      <c r="U29" s="31"/>
      <c r="V29" s="31"/>
      <c r="W29" s="32"/>
      <c r="X29" s="32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</row>
    <row r="30" spans="1:207" ht="31.5" customHeight="1" x14ac:dyDescent="0.2">
      <c r="A30" s="31"/>
      <c r="B30" s="31"/>
      <c r="C30" s="31"/>
      <c r="D30" s="31"/>
      <c r="E30" s="31"/>
      <c r="F30" s="75"/>
      <c r="G30" s="75"/>
      <c r="H30" s="72"/>
      <c r="I30" s="72"/>
      <c r="J30" s="72"/>
      <c r="K30" s="32"/>
      <c r="L30" s="32"/>
      <c r="M30" s="32"/>
      <c r="N30" s="32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</row>
    <row r="31" spans="1:207" ht="6" customHeight="1" x14ac:dyDescent="0.2">
      <c r="A31" s="31"/>
      <c r="B31" s="31"/>
      <c r="C31" s="31"/>
      <c r="D31" s="31"/>
      <c r="E31" s="31"/>
      <c r="F31" s="76"/>
      <c r="G31" s="77"/>
      <c r="H31" s="72"/>
      <c r="I31" s="72"/>
      <c r="J31" s="31"/>
      <c r="K31" s="32"/>
      <c r="L31" s="32"/>
      <c r="M31" s="32"/>
      <c r="N31" s="32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</row>
    <row r="32" spans="1:207" ht="14.25" x14ac:dyDescent="0.2">
      <c r="A32" s="31"/>
      <c r="B32" s="31"/>
      <c r="C32" s="31"/>
      <c r="D32" s="31"/>
      <c r="E32" s="31"/>
      <c r="F32" s="54"/>
      <c r="G32" s="32"/>
      <c r="H32" s="32"/>
      <c r="I32" s="32"/>
      <c r="J32" s="32"/>
      <c r="K32" s="32"/>
      <c r="L32" s="32"/>
      <c r="M32" s="32"/>
      <c r="N32" s="32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</row>
    <row r="33" spans="1:207" ht="14.25" x14ac:dyDescent="0.2">
      <c r="A33" s="31"/>
      <c r="B33" s="31"/>
      <c r="C33" s="31"/>
      <c r="D33" s="31"/>
      <c r="E33" s="31"/>
      <c r="F33" s="54"/>
      <c r="G33" s="32"/>
      <c r="H33" s="32"/>
      <c r="I33" s="32"/>
      <c r="J33" s="32"/>
      <c r="K33" s="32"/>
      <c r="L33" s="32"/>
      <c r="M33" s="32"/>
      <c r="N33" s="32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</row>
    <row r="34" spans="1:207" x14ac:dyDescent="0.2">
      <c r="A34" s="31"/>
      <c r="B34" s="31"/>
      <c r="C34" s="31"/>
      <c r="D34" s="31"/>
      <c r="E34" s="32"/>
      <c r="F34" s="32"/>
      <c r="G34" s="78"/>
      <c r="H34" s="72"/>
      <c r="I34" s="72"/>
      <c r="J34" s="31"/>
      <c r="K34" s="32"/>
      <c r="L34" s="32"/>
      <c r="M34" s="32"/>
      <c r="N34" s="32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</row>
    <row r="35" spans="1:207" x14ac:dyDescent="0.2">
      <c r="A35" s="31"/>
      <c r="B35" s="31"/>
      <c r="C35" s="31"/>
      <c r="D35" s="31"/>
      <c r="E35" s="32"/>
      <c r="F35" s="32"/>
      <c r="G35" s="32"/>
      <c r="H35" s="31"/>
      <c r="I35" s="31"/>
      <c r="J35" s="31"/>
      <c r="K35" s="32"/>
      <c r="L35" s="32"/>
      <c r="M35" s="32"/>
      <c r="N35" s="32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</row>
    <row r="36" spans="1:207" x14ac:dyDescent="0.2">
      <c r="A36" s="31"/>
      <c r="B36" s="31"/>
      <c r="C36" s="31"/>
      <c r="D36" s="31"/>
      <c r="E36" s="32"/>
      <c r="F36" s="32"/>
      <c r="G36" s="32"/>
      <c r="H36" s="32"/>
      <c r="I36" s="31"/>
      <c r="J36" s="31"/>
      <c r="K36" s="32"/>
      <c r="L36" s="32"/>
      <c r="M36" s="32"/>
      <c r="N36" s="32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</row>
    <row r="37" spans="1:207" x14ac:dyDescent="0.2">
      <c r="A37" s="31"/>
      <c r="B37" s="31"/>
      <c r="C37" s="31"/>
      <c r="D37" s="31"/>
      <c r="E37" s="32"/>
      <c r="F37" s="32"/>
      <c r="G37" s="32"/>
      <c r="H37" s="32"/>
      <c r="I37" s="31"/>
      <c r="J37" s="31"/>
      <c r="K37" s="32"/>
      <c r="L37" s="32"/>
      <c r="M37" s="32"/>
      <c r="N37" s="32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</row>
    <row r="38" spans="1:207" x14ac:dyDescent="0.2">
      <c r="A38" s="31"/>
      <c r="B38" s="31"/>
      <c r="C38" s="31"/>
      <c r="D38" s="31"/>
      <c r="E38" s="32"/>
      <c r="F38" s="32"/>
      <c r="G38" s="32"/>
      <c r="H38" s="32"/>
      <c r="I38" s="31"/>
      <c r="J38" s="31"/>
      <c r="K38" s="32"/>
      <c r="L38" s="32"/>
      <c r="M38" s="32"/>
      <c r="N38" s="32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</row>
    <row r="39" spans="1:207" hidden="1" x14ac:dyDescent="0.2"/>
    <row r="40" spans="1:207" hidden="1" x14ac:dyDescent="0.2"/>
    <row r="41" spans="1:207" hidden="1" x14ac:dyDescent="0.2"/>
    <row r="42" spans="1:207" hidden="1" x14ac:dyDescent="0.2"/>
    <row r="43" spans="1:207" hidden="1" x14ac:dyDescent="0.2"/>
    <row r="44" spans="1:207" hidden="1" x14ac:dyDescent="0.2"/>
    <row r="45" spans="1:207" hidden="1" x14ac:dyDescent="0.2"/>
    <row r="46" spans="1:207" hidden="1" x14ac:dyDescent="0.2"/>
    <row r="47" spans="1:207" hidden="1" x14ac:dyDescent="0.2"/>
    <row r="48" spans="1:207" hidden="1" x14ac:dyDescent="0.2"/>
    <row r="49" spans="5:20" hidden="1" x14ac:dyDescent="0.2">
      <c r="H49" s="80"/>
    </row>
    <row r="50" spans="5:20" hidden="1" x14ac:dyDescent="0.2">
      <c r="H50" s="81" t="s">
        <v>24</v>
      </c>
    </row>
    <row r="51" spans="5:20" hidden="1" x14ac:dyDescent="0.2">
      <c r="H51" s="16">
        <v>2</v>
      </c>
    </row>
    <row r="52" spans="5:20" hidden="1" x14ac:dyDescent="0.2"/>
    <row r="53" spans="5:20" hidden="1" x14ac:dyDescent="0.2">
      <c r="H53" s="79" t="s">
        <v>25</v>
      </c>
      <c r="I53" s="33">
        <v>35</v>
      </c>
    </row>
    <row r="54" spans="5:20" hidden="1" x14ac:dyDescent="0.2"/>
    <row r="55" spans="5:20" hidden="1" x14ac:dyDescent="0.2"/>
    <row r="56" spans="5:20" hidden="1" x14ac:dyDescent="0.2">
      <c r="O56" s="79"/>
      <c r="P56" s="79"/>
      <c r="Q56" s="82"/>
      <c r="R56" s="82"/>
      <c r="T56" s="79"/>
    </row>
    <row r="57" spans="5:20" hidden="1" x14ac:dyDescent="0.2">
      <c r="T57" s="79"/>
    </row>
    <row r="58" spans="5:20" hidden="1" x14ac:dyDescent="0.2">
      <c r="I58" s="83" t="s">
        <v>26</v>
      </c>
      <c r="J58" s="83"/>
      <c r="K58" s="83"/>
      <c r="N58" s="33"/>
      <c r="O58" s="134" t="s">
        <v>27</v>
      </c>
      <c r="P58" s="134"/>
      <c r="Q58" s="134"/>
      <c r="T58" s="79"/>
    </row>
    <row r="59" spans="5:20" hidden="1" x14ac:dyDescent="0.2">
      <c r="I59" s="84" t="s">
        <v>28</v>
      </c>
      <c r="J59" s="84" t="s">
        <v>29</v>
      </c>
      <c r="K59" s="84" t="s">
        <v>30</v>
      </c>
      <c r="N59" s="33"/>
      <c r="O59" s="84" t="s">
        <v>28</v>
      </c>
      <c r="P59" s="84" t="s">
        <v>29</v>
      </c>
      <c r="Q59" s="84" t="s">
        <v>30</v>
      </c>
      <c r="R59" s="85"/>
      <c r="T59" s="79"/>
    </row>
    <row r="60" spans="5:20" hidden="1" x14ac:dyDescent="0.2">
      <c r="I60" s="86">
        <f>IF(OR(F17="",F18="",F20="",F21=""),0,IF(K73="",SUM(J70:J73),K73))</f>
        <v>0</v>
      </c>
      <c r="J60" s="86">
        <f>IF(I60="","",IF(J77&lt;4909.5,I60*33.35%,"Veure nota 2"))</f>
        <v>0</v>
      </c>
      <c r="K60" s="86">
        <f>IF(OR(F20="",F21=""),0,IF(F22="sí",0,ROUND(J77/30*K63,2)))</f>
        <v>0</v>
      </c>
      <c r="N60" s="33"/>
      <c r="O60" s="86">
        <f>IF(OR(I17="",I19="",I20=""),0,IF(T73="",SUM(P70:P73),T73))</f>
        <v>0</v>
      </c>
      <c r="P60" s="86">
        <f>IF(O60="","",IF(S75&lt;&gt;0,S75,O60*33.35%))</f>
        <v>0</v>
      </c>
      <c r="Q60" s="86">
        <f>IF(OR(I19="",I20=""),0,IF(I21="sí",0,ROUND(I17/30*Q63,2)))</f>
        <v>0</v>
      </c>
      <c r="T60" s="79"/>
    </row>
    <row r="61" spans="5:20" hidden="1" x14ac:dyDescent="0.2">
      <c r="I61" s="87"/>
      <c r="J61" s="87"/>
      <c r="K61" s="87"/>
      <c r="N61" s="33"/>
      <c r="O61" s="87"/>
      <c r="P61" s="87"/>
      <c r="Q61" s="87"/>
      <c r="T61" s="79"/>
    </row>
    <row r="62" spans="5:20" hidden="1" x14ac:dyDescent="0.2">
      <c r="E62" s="33"/>
      <c r="F62" s="33"/>
      <c r="H62" s="88" t="s">
        <v>31</v>
      </c>
      <c r="I62" s="88" t="s">
        <v>32</v>
      </c>
      <c r="K62" s="89" t="s">
        <v>33</v>
      </c>
      <c r="L62" s="33"/>
      <c r="M62" s="33"/>
      <c r="N62" s="88" t="s">
        <v>31</v>
      </c>
      <c r="O62" s="88" t="s">
        <v>32</v>
      </c>
      <c r="Q62" s="89" t="s">
        <v>33</v>
      </c>
    </row>
    <row r="63" spans="5:20" hidden="1" x14ac:dyDescent="0.2">
      <c r="E63" s="33"/>
      <c r="F63" s="33"/>
      <c r="G63" s="90" t="s">
        <v>34</v>
      </c>
      <c r="H63" s="91" t="str">
        <f>IF(F20="","",DAY(F20))</f>
        <v/>
      </c>
      <c r="I63" s="91" t="str">
        <f>IF(F21="","",DAY(F21))</f>
        <v/>
      </c>
      <c r="K63" s="16">
        <f>ROUND(IF(F20="",0,IF(H51=1,(F21-F20+1)*12/365,IF(H51=2,(F21-F20+1)*20/365))),2)</f>
        <v>0</v>
      </c>
      <c r="M63" s="90" t="s">
        <v>34</v>
      </c>
      <c r="N63" s="91" t="str">
        <f>IF(I19="","",DAY(I19))</f>
        <v/>
      </c>
      <c r="O63" s="91" t="str">
        <f>IF(I20="","",DAY(I20))</f>
        <v/>
      </c>
      <c r="Q63" s="16">
        <f>ROUND(IF(I19="",0,IF(H51=1,(I20-I19+1)*12/365,IF(H51=2,(I20-I19+1)*20/365))),2)</f>
        <v>0</v>
      </c>
    </row>
    <row r="64" spans="5:20" hidden="1" x14ac:dyDescent="0.2">
      <c r="E64" s="33"/>
      <c r="F64" s="33"/>
      <c r="G64" s="90" t="s">
        <v>35</v>
      </c>
      <c r="H64" s="92" t="str">
        <f>IF(F20="","",MONTH(F20))</f>
        <v/>
      </c>
      <c r="I64" s="92" t="str">
        <f>IF(F21="","",MONTH(F21))</f>
        <v/>
      </c>
      <c r="M64" s="90" t="s">
        <v>35</v>
      </c>
      <c r="N64" s="91" t="str">
        <f>IF(I19="","",MONTH(I19))</f>
        <v/>
      </c>
      <c r="O64" s="91" t="str">
        <f>IF(I20="","",MONTH(I20))</f>
        <v/>
      </c>
      <c r="Q64" s="79"/>
    </row>
    <row r="65" spans="5:20" hidden="1" x14ac:dyDescent="0.2">
      <c r="E65" s="33"/>
      <c r="F65" s="33"/>
      <c r="G65" s="90" t="s">
        <v>36</v>
      </c>
      <c r="H65" s="92" t="str">
        <f>IF(F20="","",YEAR(F20))</f>
        <v/>
      </c>
      <c r="I65" s="92" t="str">
        <f>IF(F21="","",YEAR(F21))</f>
        <v/>
      </c>
      <c r="K65" s="89" t="s">
        <v>37</v>
      </c>
      <c r="L65" s="89" t="s">
        <v>38</v>
      </c>
      <c r="M65" s="90" t="s">
        <v>36</v>
      </c>
      <c r="N65" s="91" t="str">
        <f>IF(I19="","",YEAR(I19))</f>
        <v/>
      </c>
      <c r="O65" s="91" t="str">
        <f>IF(I20="","",YEAR(I20))</f>
        <v/>
      </c>
      <c r="Q65" s="89" t="s">
        <v>37</v>
      </c>
      <c r="R65" s="89" t="s">
        <v>38</v>
      </c>
    </row>
    <row r="66" spans="5:20" hidden="1" x14ac:dyDescent="0.2">
      <c r="E66" s="33"/>
      <c r="F66" s="33"/>
      <c r="G66" s="90" t="s">
        <v>39</v>
      </c>
      <c r="H66" s="92" t="str">
        <f>IF(F20="","",DAY(EOMONTH(F20,0)))</f>
        <v/>
      </c>
      <c r="I66" s="92" t="str">
        <f>IF(F21="","",DAY(EOMONTH(F21,0)))</f>
        <v/>
      </c>
      <c r="K66" s="16" t="str">
        <f>IF(OR(H65=2020,H65=2024,H65=2028,H65=2032,H65=2036,H65=2040,H65=2044,H65=2048,H65=2052,H65=2056,H65=2060,H65=2064,H65=2068,H65=2072,H65=2076,H65=2080,H65=2084,H65=2088,H65=2092,H65=2096),"si","")</f>
        <v/>
      </c>
      <c r="L66" s="16" t="str">
        <f>IF(OR(I65=2020,I65=2024,I65=2028,I65=2032,I65=2036,I65=2040,I65=2044,I65=2048,I65=2052,I65=2056,I65=2060,I65=2064,I65=2068,I65=2072,I65=2076,I65=2080,I65=2084,I65=2088,I65=2092,I65=2096),"si","")</f>
        <v/>
      </c>
      <c r="M66" s="90" t="s">
        <v>39</v>
      </c>
      <c r="N66" s="92" t="str">
        <f>IF(I19="","",DAY(EOMONTH(I19,0)))</f>
        <v/>
      </c>
      <c r="O66" s="92" t="str">
        <f>IF(I20="","",DAY(EOMONTH(I20,0)))</f>
        <v/>
      </c>
      <c r="Q66" s="16" t="str">
        <f>IF(OR(N65=2020,N65=2024,N65=2028,N65=2032,N65=2036,N65=2040,N65=2044,N65=2048,N65=2052,N65=2056,N65=2060,N65=2064,N65=2068,N65=2072,N65=2076,N65=2080,N65=2084,N65=2088,N65=2092,N65=2096),"si","")</f>
        <v/>
      </c>
      <c r="R66" s="16" t="str">
        <f>IF(OR(O65=2020,O65=2024,O65=2028,O65=2032,O65=2036,O65=2040,O65=2044,O65=2048,O65=2052,O65=2056,O65=2060,O65=2064,O65=2068,O65=2072,O65=2076,O65=2080,O65=2084,O65=2088,O65=2092,O65=2096),"si","")</f>
        <v/>
      </c>
    </row>
    <row r="67" spans="5:20" hidden="1" x14ac:dyDescent="0.2">
      <c r="E67" s="33"/>
      <c r="F67" s="33"/>
      <c r="H67" s="88" t="s">
        <v>40</v>
      </c>
      <c r="I67" s="16" t="str">
        <f>IF(H63="","",IF(H63=1,IF(OR(AND(I63=29,I64=2,L66="si"),AND(I63=28,I64=2,L66=""),AND(I63=30,I64=4),AND(I63=30,I64=6),AND(I63=30,I64=9),AND(I63=30,I64=11),AND(I63=31)),"RRMENSUAL","RRDIARIA"),"RRDIARIA"))</f>
        <v/>
      </c>
      <c r="N67" s="88" t="s">
        <v>40</v>
      </c>
      <c r="O67" s="16" t="str">
        <f>IF(N63="","",IF(N63=1,IF(OR(AND(O63=29,O64=2,R66="si"),AND(O63=28,O64=2,R66=""),AND(O63=30,O64=4),AND(O63=30,O64=6),AND(O63=30,O64=9),AND(O63=30,O64=11),AND(O63=31)),"RRMENSUAL","RRDIARIA"),"RRDIARIA"))</f>
        <v/>
      </c>
      <c r="Q67" s="79"/>
      <c r="R67" s="79"/>
      <c r="S67" s="79"/>
    </row>
    <row r="68" spans="5:20" hidden="1" x14ac:dyDescent="0.2">
      <c r="E68" s="33"/>
      <c r="F68" s="33"/>
    </row>
    <row r="69" spans="5:20" ht="15.75" hidden="1" x14ac:dyDescent="0.2">
      <c r="E69" s="33"/>
      <c r="F69" s="33"/>
      <c r="I69" s="89" t="s">
        <v>41</v>
      </c>
      <c r="J69" s="89" t="s">
        <v>42</v>
      </c>
      <c r="K69" s="93"/>
      <c r="N69" s="33"/>
      <c r="O69" s="89" t="s">
        <v>41</v>
      </c>
      <c r="P69" s="89" t="s">
        <v>42</v>
      </c>
      <c r="Q69" s="94" t="s">
        <v>43</v>
      </c>
      <c r="R69" s="95"/>
      <c r="S69" s="89" t="s">
        <v>44</v>
      </c>
    </row>
    <row r="70" spans="5:20" hidden="1" x14ac:dyDescent="0.2">
      <c r="E70" s="33"/>
      <c r="F70" s="33"/>
      <c r="H70" s="89" t="s">
        <v>45</v>
      </c>
      <c r="I70" s="96" t="str">
        <f>IF(I67="RRMENSUAL",(DATEDIF(F20,F21,"m")+1),"")</f>
        <v/>
      </c>
      <c r="J70" s="86" t="str">
        <f>IF(I70="","",J77*I70)</f>
        <v/>
      </c>
      <c r="K70" s="33"/>
      <c r="N70" s="97" t="s">
        <v>45</v>
      </c>
      <c r="O70" s="96" t="str">
        <f>IF(O67="RRMENSUAL",(DATEDIF(I19,I20,"m")+1),"")</f>
        <v/>
      </c>
      <c r="P70" s="98" t="str">
        <f>IF(O70="","",I17*O70)</f>
        <v/>
      </c>
      <c r="Q70" s="99"/>
      <c r="R70" s="100"/>
      <c r="S70" s="16" t="str">
        <f>IF(P70="","",IF(I17&gt;4909.5,(4909.5*33.35%)*O70,))</f>
        <v/>
      </c>
    </row>
    <row r="71" spans="5:20" hidden="1" x14ac:dyDescent="0.2">
      <c r="E71" s="33"/>
      <c r="F71" s="33"/>
      <c r="H71" s="89" t="s">
        <v>46</v>
      </c>
      <c r="I71" s="96" t="str">
        <f>IF(AND(H63&lt;&gt;1,OR(AND(I63=28,I64=2,L66=""),AND(I63=29,I64=2,L66="si"),AND(I63=30,I64=4),AND(I63=30,I64=6),AND(I63=30,I64=9),AND(I63=30,I64=11),AND(I63=31))),(DATEDIF(F20,F21,"m")),"")</f>
        <v/>
      </c>
      <c r="J71" s="86" t="str">
        <f>IF(I71="","",(ROUND(I71*J77+(IF(AND(H64=2,K66=""),J77/28*(29-H63),IF(AND(H64=2,K66="si"),J77/29*(30-H63),IF(OR(H64=4,H64=6,H64=9,H64=11),J77/30*(31-H63),J77/31*(32-H63))))),2)))</f>
        <v/>
      </c>
      <c r="K71" s="33"/>
      <c r="N71" s="97" t="s">
        <v>46</v>
      </c>
      <c r="O71" s="96" t="str">
        <f>IF(AND(N63&lt;&gt;1,OR(AND(O63=28,O64=2,R66=""),AND(O63=29,O64=2,R66="si"),AND(O63=30,O64=4),AND(O63=30,O64=6),AND(O63=30,O64=9),AND(O63=30,O64=11),AND(O63=31))),(DATEDIF(I19,I20,"m")),"")</f>
        <v/>
      </c>
      <c r="P71" s="98" t="str">
        <f>IF(OR(I19="",I20=""),"",IF(O71="","",(ROUND(O71*I17+(IF(AND(N64=2,Q66=""),I17/28*(29-N63),IF(AND(N64=2,Q66="si"),I17/29*(30-N63),IF(OR(N64=4,N64=6,N64=9,N64=11),I17/30*(31-N63),I17/31*(32-N63))))),2))))</f>
        <v/>
      </c>
      <c r="Q71" s="99" t="str">
        <f>IF(P71="","",IF(AND(N64=2,Q66=""),29-N63,IF(AND(N64=2,Q66="si"),30-N63,IF(OR(N64=4,N64=6,N64=9,N64=11),31-N63,32-N63))))</f>
        <v/>
      </c>
      <c r="R71" s="100"/>
      <c r="S71" s="16" t="str">
        <f>IF(P71="","",ROUND(IF(I17&gt;4909.5,(O71*4909.5)*33.35%+(IF(AND(N64=2,Q66=""),(4909.5/28*Q71)*33.35%,IF(AND(N64=2,Q66="si"),(4909.5/29*Q71)*33.35%,IF(OR(N64=4,N64=6,N64=9,N64=11),(4909.5/30*Q71)*33.35%,(4909.5/31*Q71)*33.35%))))),2))</f>
        <v/>
      </c>
    </row>
    <row r="72" spans="5:20" hidden="1" x14ac:dyDescent="0.2">
      <c r="E72" s="33"/>
      <c r="F72" s="33"/>
      <c r="H72" s="89" t="s">
        <v>47</v>
      </c>
      <c r="I72" s="96" t="str">
        <f>IF(AND($H$63=1,$I$67="RRDIARIA"),DATEDIF(F20,F21,"m"),"")</f>
        <v/>
      </c>
      <c r="J72" s="86" t="str">
        <f>IF(I72="","",(ROUND(I72*J77+(IF(AND(I64=2,L66=""),J77/28*I63,IF(AND(I64=2,L66="si"),J77/29*I63,IF(OR(I64=4,I64=6,I64=9,I64=11),J77/30*I63,J77/31*I63)))),2)))</f>
        <v/>
      </c>
      <c r="K72" s="101" t="s">
        <v>48</v>
      </c>
      <c r="N72" s="97" t="s">
        <v>47</v>
      </c>
      <c r="O72" s="96" t="str">
        <f>IF(OR(I19="",I20=""),"",IF(AND($N$63=1,$O$67="RRDIARIA"),DATEDIF(I19,I20,"m"),""))</f>
        <v/>
      </c>
      <c r="P72" s="98" t="str">
        <f>IF(O72="","",(ROUND(O72*I17+(IF(AND(O64=2,R66=""),I17/28*O63,IF(AND(O64=2,R66="si"),I17/29*O63,IF(OR(O64=4,O64=6,O64=9,O64=11),I17/30*O63,I17/31*O63)))),2)))</f>
        <v/>
      </c>
      <c r="Q72" s="102" t="str">
        <f>IF(P72&lt;&gt;"",O63,"")</f>
        <v/>
      </c>
      <c r="R72" s="103"/>
      <c r="S72" s="16" t="str">
        <f>IF(P72="","",ROUND(IF(I17&gt;4909.5,(O72*4909.5)*33.35%+(IF(AND(O64=2,R66=""),(4909.5/28*Q72)*33.35%,IF(AND(O64=2,R66="si"),(4909.5/29*Q72)*33.35%,IF(OR(O64=4,O64=6,O64=9,O64=11),(4909.5/30*Q72)*33.35%,(4909.5/31*Q72)*33.35%))))),2))</f>
        <v/>
      </c>
      <c r="T72" s="89" t="s">
        <v>48</v>
      </c>
    </row>
    <row r="73" spans="5:20" ht="33.75" hidden="1" x14ac:dyDescent="0.2">
      <c r="E73" s="33"/>
      <c r="F73" s="33"/>
      <c r="H73" s="104" t="s">
        <v>49</v>
      </c>
      <c r="I73" s="96" t="str">
        <f>IF(I67="","",IF(AND(I70="",I71="",I72=""),IF(DAY(F20)&lt;=DAY(F21),DATEDIF(F20,F21,"M")-1,DATEDIF(F20,F21,"M")),""))</f>
        <v/>
      </c>
      <c r="J73" s="86" t="str">
        <f>IF(I73="","",IF(K73&lt;&gt;"","",ROUND((IF(AND(H64=2,K66=""),J77/28*(29-H63),IF(AND(H64=2,K66="si"),J77/29*(30-H63),IF(OR(H64=4,H64=6,H64=9,H64=11),J77/30*(31-H63),J77/31*(32-H63)))))+J77*I73+(IF(AND(I64=2,L66=""),J77/28*I63,IF(AND(I64=2,L66="si"),J77/29*I63,IF(OR(I64=4,I64=6,I64=9,I64=11),J77/30*I63,J77/31*I63)))),2)))</f>
        <v/>
      </c>
      <c r="K73" s="98" t="str">
        <f>IF(I73="","",IF(AND(H65=I65,I64=H64),J77/H66*(I63-H63+1),""))</f>
        <v/>
      </c>
      <c r="N73" s="105" t="s">
        <v>50</v>
      </c>
      <c r="O73" s="96" t="str">
        <f>IF(O67="","",IF(AND(O70="",O71="",O72=""),IF(DAY(I19)&lt;=DAY(I20),DATEDIF(I19,I20,"M")-1,DATEDIF(I19,I20,"M")),""))</f>
        <v/>
      </c>
      <c r="P73" s="98" t="str">
        <f>IF(O73="","",IF(T73&lt;&gt;"","",ROUND((IF(AND(N64=2,Q66=""),I17/28*(29-N63),IF(AND(N64=2,Q66="si"),I17/29*(30-N63),IF(OR(N64=4,N64=6,N64=9,N64=11),I17/30*(31-N63),I17/31*(32-N63)))))+I17*O73+(IF(AND(O64=2,R66=""),I17/28*O63,IF(AND(O64=2,R66="si"),I17/29*O63,IF(OR(O64=4,O64=6,O64=9,O64=11),I17/30*O63,I17/31*O63)))),2)))</f>
        <v/>
      </c>
      <c r="Q73" s="106" t="str">
        <f>IF(P73="","",IF(AND(N64=2,Q66=""),29-N63,IF(AND(N64=2,Q66="si"),30-N63,IF(OR(N64=4,N64=6,N64=9,N64=11),31-N63,32-N63))))</f>
        <v/>
      </c>
      <c r="R73" s="107" t="str">
        <f>IF(T73&lt;&gt;"",(O63-N63)+1,O63)</f>
        <v/>
      </c>
      <c r="S73" s="16" t="str">
        <f>IF(P73="","",ROUND(IF(I17&gt;4909.5,(O73*4909.5)*33.35%+(IF(AND(N64=2,Q66=""),(4909.5/28*Q73)*33.35%,IF(AND(N64=2,Q66="si"),(4909.5*Q73)*33.35%,IF(OR(N64=4,N64=6,N64=9,N64=11),(4909.5/30*Q73)*33.35%,(4909.5/31*Q73)*33.35%))))+(IF(AND(O64=2,R66=""),(4909.5/28*R73)*33.35%,IF(AND(O64=2,R66="si"),(4909.5/29*R73)*33.35%,IF(OR(O64=4,O64=6,O64=9,O64=11),(4909.5/30*R73)*33.35%,(4909.5/31*R73)*33.35%))))),2))</f>
        <v/>
      </c>
      <c r="T73" s="86" t="str">
        <f>IF(OR(O70&lt;&gt;"",O71&lt;&gt;"",O72&lt;&gt;""),"",IF(N63="","",IF(AND(N65=O65,N64=O64),J77/N66*(O63-N63+1),"")))</f>
        <v/>
      </c>
    </row>
    <row r="74" spans="5:20" hidden="1" x14ac:dyDescent="0.2">
      <c r="E74" s="33"/>
      <c r="F74" s="33"/>
      <c r="J74" s="108"/>
      <c r="N74" s="33"/>
      <c r="P74" s="108"/>
      <c r="Q74" s="94" t="s">
        <v>51</v>
      </c>
      <c r="R74" s="95"/>
      <c r="S74" s="16" t="str">
        <f>IF(OR(I19="",I20=""),"",IF(AND(I19="",I20=""),"",IF(I17="","",IF(OR(S70&lt;&gt;"",S71&lt;&gt;"",S72&lt;&gt;"",S73&lt;&gt;"",I17&lt;4909.5),"",(IF(AND(N64=2,Q66=""),(4909.5/28*R73)*33.35%,IF(AND(N64=2,Q66="si"),(4909.5/29*R73)*33.35%,IF(OR(N64=4,N64=6,N64=9,N64=11),(4909.5/30*R73)*33.35%,(4909.5/31*R73)*33.35%))))))))</f>
        <v/>
      </c>
    </row>
    <row r="75" spans="5:20" hidden="1" x14ac:dyDescent="0.2">
      <c r="E75" s="33"/>
      <c r="F75" s="33"/>
      <c r="H75" s="89" t="s">
        <v>52</v>
      </c>
      <c r="I75" s="89" t="s">
        <v>53</v>
      </c>
      <c r="J75" s="79"/>
      <c r="N75" s="33"/>
      <c r="O75" s="108"/>
      <c r="Q75" s="109" t="s">
        <v>54</v>
      </c>
      <c r="R75" s="110"/>
      <c r="S75" s="16">
        <f>SUM(S70:S74)</f>
        <v>0</v>
      </c>
    </row>
    <row r="76" spans="5:20" hidden="1" x14ac:dyDescent="0.2">
      <c r="E76" s="33"/>
      <c r="F76" s="33"/>
      <c r="H76" s="88" t="s">
        <v>11</v>
      </c>
      <c r="I76" s="111">
        <f>'Informació Retribucions'!E6</f>
        <v>3302.4</v>
      </c>
      <c r="J76" s="88" t="s">
        <v>42</v>
      </c>
      <c r="N76" s="33"/>
    </row>
    <row r="77" spans="5:20" hidden="1" x14ac:dyDescent="0.2">
      <c r="E77" s="82"/>
      <c r="H77" s="88" t="s">
        <v>55</v>
      </c>
      <c r="I77" s="111">
        <f>'Informació Retribucions'!E7</f>
        <v>3233</v>
      </c>
      <c r="J77" s="111">
        <f>IF(F18="",0,((VLOOKUP($F$17,$H$76:$I$83,2,0)/35*F18)+J88))</f>
        <v>0</v>
      </c>
      <c r="N77" s="33"/>
    </row>
    <row r="78" spans="5:20" hidden="1" x14ac:dyDescent="0.2">
      <c r="E78" s="112"/>
      <c r="H78" s="88" t="s">
        <v>56</v>
      </c>
      <c r="I78" s="111">
        <f>'Informació Retribucions'!E8</f>
        <v>3038.55</v>
      </c>
      <c r="J78" s="79"/>
      <c r="N78" s="33"/>
    </row>
    <row r="79" spans="5:20" hidden="1" x14ac:dyDescent="0.2">
      <c r="H79" s="88" t="s">
        <v>57</v>
      </c>
      <c r="I79" s="111">
        <f>'Informació Retribucions'!E9</f>
        <v>2902.09</v>
      </c>
      <c r="J79" s="79"/>
    </row>
    <row r="80" spans="5:20" hidden="1" x14ac:dyDescent="0.2">
      <c r="H80" s="88" t="s">
        <v>58</v>
      </c>
      <c r="I80" s="111">
        <f>'Informació Retribucions'!E10</f>
        <v>2896.69</v>
      </c>
    </row>
    <row r="81" spans="8:16" hidden="1" x14ac:dyDescent="0.2">
      <c r="H81" s="88" t="s">
        <v>59</v>
      </c>
      <c r="I81" s="111">
        <f>'Informació Retribucions'!E11</f>
        <v>2702.24</v>
      </c>
    </row>
    <row r="82" spans="8:16" hidden="1" x14ac:dyDescent="0.2">
      <c r="H82" s="88" t="s">
        <v>60</v>
      </c>
      <c r="I82" s="111">
        <f>'Informació Retribucions'!E12</f>
        <v>2565.7800000000002</v>
      </c>
      <c r="O82" s="82"/>
      <c r="P82" s="113"/>
    </row>
    <row r="83" spans="8:16" hidden="1" x14ac:dyDescent="0.2">
      <c r="I83" s="79"/>
      <c r="J83" s="79"/>
      <c r="O83" s="114"/>
      <c r="P83" s="114"/>
    </row>
    <row r="84" spans="8:16" hidden="1" x14ac:dyDescent="0.2"/>
    <row r="85" spans="8:16" hidden="1" x14ac:dyDescent="0.2"/>
    <row r="86" spans="8:16" hidden="1" x14ac:dyDescent="0.2"/>
    <row r="87" spans="8:16" hidden="1" x14ac:dyDescent="0.2">
      <c r="H87" s="88" t="s">
        <v>61</v>
      </c>
      <c r="I87" s="86">
        <f>'Informació Retribucions'!F6</f>
        <v>80.989999999999995</v>
      </c>
      <c r="J87" s="88" t="s">
        <v>62</v>
      </c>
    </row>
    <row r="88" spans="8:16" hidden="1" x14ac:dyDescent="0.2">
      <c r="H88" s="88" t="s">
        <v>63</v>
      </c>
      <c r="I88" s="86">
        <f>'Informació Retribucions'!F7</f>
        <v>67.75</v>
      </c>
      <c r="J88" s="16">
        <f>IF(F19="",0,ROUND(IF(F17="1 - Q",(I87/35*F18)*F19,(I88/35*F18)*F19),2))</f>
        <v>0</v>
      </c>
    </row>
    <row r="89" spans="8:16" hidden="1" x14ac:dyDescent="0.2"/>
    <row r="90" spans="8:16" hidden="1" x14ac:dyDescent="0.2"/>
    <row r="91" spans="8:16" hidden="1" x14ac:dyDescent="0.2"/>
    <row r="92" spans="8:16" hidden="1" x14ac:dyDescent="0.2"/>
    <row r="93" spans="8:16" hidden="1" x14ac:dyDescent="0.2"/>
    <row r="94" spans="8:16" hidden="1" x14ac:dyDescent="0.2"/>
    <row r="95" spans="8:16" hidden="1" x14ac:dyDescent="0.2"/>
    <row r="96" spans="8:1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spans="6:6" hidden="1" x14ac:dyDescent="0.2"/>
    <row r="114" spans="6:6" hidden="1" x14ac:dyDescent="0.2"/>
    <row r="115" spans="6:6" hidden="1" x14ac:dyDescent="0.2"/>
    <row r="118" spans="6:6" hidden="1" x14ac:dyDescent="0.2"/>
    <row r="119" spans="6:6" hidden="1" x14ac:dyDescent="0.2"/>
    <row r="120" spans="6:6" hidden="1" x14ac:dyDescent="0.2"/>
    <row r="121" spans="6:6" hidden="1" x14ac:dyDescent="0.2">
      <c r="F121" s="79">
        <v>2021</v>
      </c>
    </row>
    <row r="122" spans="6:6" hidden="1" x14ac:dyDescent="0.2"/>
    <row r="123" spans="6:6" hidden="1" x14ac:dyDescent="0.2"/>
    <row r="124" spans="6:6" hidden="1" x14ac:dyDescent="0.2"/>
    <row r="125" spans="6:6" hidden="1" x14ac:dyDescent="0.2"/>
    <row r="126" spans="6:6" hidden="1" x14ac:dyDescent="0.2"/>
    <row r="127" spans="6:6" hidden="1" x14ac:dyDescent="0.2"/>
    <row r="128" spans="6:6" hidden="1" x14ac:dyDescent="0.2"/>
  </sheetData>
  <mergeCells count="11">
    <mergeCell ref="B3:C3"/>
    <mergeCell ref="E3:F3"/>
    <mergeCell ref="H3:I3"/>
    <mergeCell ref="E8:F8"/>
    <mergeCell ref="E9:F9"/>
    <mergeCell ref="H9:I9"/>
    <mergeCell ref="H10:I10"/>
    <mergeCell ref="E13:I13"/>
    <mergeCell ref="E15:F15"/>
    <mergeCell ref="H15:I15"/>
    <mergeCell ref="O58:Q58"/>
  </mergeCells>
  <conditionalFormatting sqref="F29">
    <cfRule type="expression" dxfId="0" priority="1">
      <formula>$J$77&gt;4070.1</formula>
    </cfRule>
  </conditionalFormatting>
  <dataValidations count="1">
    <dataValidation type="list" allowBlank="1" showInputMessage="1" showErrorMessage="1" sqref="I21:I22 F22" xr:uid="{00000000-0002-0000-0100-000000000000}">
      <formula1>"Sí,No"</formula1>
    </dataValidation>
  </dataValidations>
  <pageMargins left="0.62" right="0.70866141732283472" top="0.74803149606299213" bottom="0.74803149606299213" header="0.31496062992125984" footer="0.31496062992125984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2051" r:id="rId4">
          <objectPr defaultSize="0" r:id="rId5">
            <anchor moveWithCells="1">
              <from>
                <xdr:col>0</xdr:col>
                <xdr:colOff>1247775</xdr:colOff>
                <xdr:row>2</xdr:row>
                <xdr:rowOff>200025</xdr:rowOff>
              </from>
              <to>
                <xdr:col>3</xdr:col>
                <xdr:colOff>104775</xdr:colOff>
                <xdr:row>7</xdr:row>
                <xdr:rowOff>219075</xdr:rowOff>
              </to>
            </anchor>
          </objectPr>
        </oleObject>
      </mc:Choice>
      <mc:Fallback>
        <oleObject progId="Word.Document.12" shapeId="2051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Esborrar_2">
                <anchor moveWithCells="1" sizeWithCells="1">
                  <from>
                    <xdr:col>6</xdr:col>
                    <xdr:colOff>533400</xdr:colOff>
                    <xdr:row>17</xdr:row>
                    <xdr:rowOff>28575</xdr:rowOff>
                  </from>
                  <to>
                    <xdr:col>6</xdr:col>
                    <xdr:colOff>1600200</xdr:colOff>
                    <xdr:row>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Esborrar_1">
                <anchor moveWithCells="1" sizeWithCells="1">
                  <from>
                    <xdr:col>6</xdr:col>
                    <xdr:colOff>542925</xdr:colOff>
                    <xdr:row>5</xdr:row>
                    <xdr:rowOff>104775</xdr:rowOff>
                  </from>
                  <to>
                    <xdr:col>6</xdr:col>
                    <xdr:colOff>1609725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Option Button 4">
              <controlPr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66675</xdr:rowOff>
                  </from>
                  <to>
                    <xdr:col>1</xdr:col>
                    <xdr:colOff>304800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Option Button 5">
              <controlPr defaultSize="0" autoFill="0" autoLine="0" autoPict="0">
                <anchor moveWithCells="1">
                  <from>
                    <xdr:col>0</xdr:col>
                    <xdr:colOff>1752600</xdr:colOff>
                    <xdr:row>5</xdr:row>
                    <xdr:rowOff>190500</xdr:rowOff>
                  </from>
                  <to>
                    <xdr:col>1</xdr:col>
                    <xdr:colOff>266700</xdr:colOff>
                    <xdr:row>6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'Informació Retribucions'!$C$6:$C$12</xm:f>
          </x14:formula1>
          <xm:sqref>F5 F17 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ull1">
    <tabColor theme="1"/>
  </sheetPr>
  <dimension ref="E1:H50"/>
  <sheetViews>
    <sheetView showGridLines="0" zoomScale="90" zoomScaleNormal="90" workbookViewId="0">
      <selection activeCell="F7" sqref="F7"/>
    </sheetView>
  </sheetViews>
  <sheetFormatPr defaultColWidth="9.1640625" defaultRowHeight="11.25" x14ac:dyDescent="0.2"/>
  <cols>
    <col min="1" max="1" width="30.83203125" style="125" customWidth="1"/>
    <col min="2" max="2" width="26.6640625" style="125" customWidth="1"/>
    <col min="3" max="3" width="26.1640625" style="125" customWidth="1"/>
    <col min="4" max="4" width="10.33203125" style="125" customWidth="1"/>
    <col min="5" max="5" width="29.1640625" style="125" customWidth="1"/>
    <col min="6" max="6" width="21.1640625" style="125" customWidth="1"/>
    <col min="7" max="7" width="17.33203125" style="125" customWidth="1"/>
    <col min="8" max="8" width="19.1640625" style="125" customWidth="1"/>
    <col min="9" max="9" width="15.83203125" style="125" bestFit="1" customWidth="1"/>
    <col min="10" max="15" width="9.1640625" style="125"/>
    <col min="16" max="16" width="9.33203125" style="125" customWidth="1"/>
    <col min="17" max="16384" width="9.1640625" style="125"/>
  </cols>
  <sheetData>
    <row r="1" spans="5:8" s="115" customFormat="1" ht="62.25" customHeight="1" x14ac:dyDescent="0.2"/>
    <row r="2" spans="5:8" s="115" customFormat="1" x14ac:dyDescent="0.2"/>
    <row r="3" spans="5:8" s="115" customFormat="1" ht="16.5" customHeight="1" thickBot="1" x14ac:dyDescent="0.3">
      <c r="E3" s="116" t="s">
        <v>64</v>
      </c>
      <c r="F3" s="116"/>
      <c r="G3" s="116"/>
    </row>
    <row r="4" spans="5:8" s="115" customFormat="1" ht="6" customHeight="1" x14ac:dyDescent="0.2"/>
    <row r="5" spans="5:8" s="115" customFormat="1" ht="18" customHeight="1" x14ac:dyDescent="0.2">
      <c r="E5" s="117" t="s">
        <v>13</v>
      </c>
      <c r="F5" s="17"/>
    </row>
    <row r="6" spans="5:8" s="115" customFormat="1" ht="18" customHeight="1" x14ac:dyDescent="0.2">
      <c r="E6" s="61" t="s">
        <v>14</v>
      </c>
      <c r="F6" s="18"/>
      <c r="G6" s="118"/>
    </row>
    <row r="7" spans="5:8" s="115" customFormat="1" ht="31.5" x14ac:dyDescent="0.2">
      <c r="E7" s="119" t="s">
        <v>65</v>
      </c>
      <c r="F7" s="19"/>
    </row>
    <row r="8" spans="5:8" s="115" customFormat="1" x14ac:dyDescent="0.2"/>
    <row r="9" spans="5:8" s="115" customFormat="1" ht="31.5" x14ac:dyDescent="0.2">
      <c r="E9" s="120" t="s">
        <v>66</v>
      </c>
      <c r="F9" s="121" t="s">
        <v>67</v>
      </c>
      <c r="G9" s="73"/>
    </row>
    <row r="10" spans="5:8" s="115" customFormat="1" ht="18" customHeight="1" x14ac:dyDescent="0.2">
      <c r="E10" s="126">
        <f>IF(OR(F5="",F6=""),0,ROUND(IF(E33=1,(F6-F5+1)*12/365,IF(E33=2,(F6-F5+1)*20/365,)),2))</f>
        <v>0</v>
      </c>
      <c r="F10" s="127">
        <f>F7/30*E10</f>
        <v>0</v>
      </c>
      <c r="G10" s="31"/>
      <c r="H10" s="31"/>
    </row>
    <row r="11" spans="5:8" s="115" customFormat="1" hidden="1" x14ac:dyDescent="0.2"/>
    <row r="12" spans="5:8" s="115" customFormat="1" ht="6" customHeight="1" x14ac:dyDescent="0.2"/>
    <row r="13" spans="5:8" s="115" customFormat="1" x14ac:dyDescent="0.2"/>
    <row r="14" spans="5:8" s="115" customFormat="1" ht="31.5" x14ac:dyDescent="0.2">
      <c r="E14" s="122" t="s">
        <v>68</v>
      </c>
      <c r="F14" s="121" t="s">
        <v>69</v>
      </c>
      <c r="G14" s="121" t="s">
        <v>70</v>
      </c>
      <c r="H14" s="118"/>
    </row>
    <row r="15" spans="5:8" s="115" customFormat="1" ht="15" x14ac:dyDescent="0.2">
      <c r="E15" s="128">
        <f>ROUND(IF(OR(F5="",F6=""),0,ROUND((F6-F5+1)*31/365,2)),0)</f>
        <v>0</v>
      </c>
      <c r="F15" s="129">
        <f>IF(E15=31,F7,F16*E15)</f>
        <v>0</v>
      </c>
      <c r="G15" s="127">
        <f>F15*33.35%</f>
        <v>0</v>
      </c>
    </row>
    <row r="16" spans="5:8" s="115" customFormat="1" hidden="1" x14ac:dyDescent="0.2">
      <c r="F16" s="115">
        <f>ROUND(F7/30,2)</f>
        <v>0</v>
      </c>
    </row>
    <row r="17" spans="5:5" s="115" customFormat="1" x14ac:dyDescent="0.2"/>
    <row r="18" spans="5:5" s="115" customFormat="1" ht="14.25" x14ac:dyDescent="0.2">
      <c r="E18" s="123" t="s">
        <v>71</v>
      </c>
    </row>
    <row r="19" spans="5:5" s="115" customFormat="1" x14ac:dyDescent="0.2"/>
    <row r="20" spans="5:5" s="115" customFormat="1" x14ac:dyDescent="0.2"/>
    <row r="21" spans="5:5" s="115" customFormat="1" x14ac:dyDescent="0.2"/>
    <row r="22" spans="5:5" s="115" customFormat="1" x14ac:dyDescent="0.2"/>
    <row r="23" spans="5:5" s="115" customFormat="1" x14ac:dyDescent="0.2"/>
    <row r="24" spans="5:5" s="115" customFormat="1" x14ac:dyDescent="0.2"/>
    <row r="25" spans="5:5" s="115" customFormat="1" x14ac:dyDescent="0.2"/>
    <row r="26" spans="5:5" s="115" customFormat="1" x14ac:dyDescent="0.2"/>
    <row r="27" spans="5:5" s="115" customFormat="1" x14ac:dyDescent="0.2"/>
    <row r="28" spans="5:5" s="115" customFormat="1" x14ac:dyDescent="0.2"/>
    <row r="29" spans="5:5" s="115" customFormat="1" x14ac:dyDescent="0.2"/>
    <row r="30" spans="5:5" s="115" customFormat="1" x14ac:dyDescent="0.2"/>
    <row r="31" spans="5:5" s="115" customFormat="1" x14ac:dyDescent="0.2"/>
    <row r="32" spans="5:5" s="115" customFormat="1" x14ac:dyDescent="0.2"/>
    <row r="33" spans="5:5" s="124" customFormat="1" hidden="1" x14ac:dyDescent="0.2">
      <c r="E33" s="20">
        <v>2</v>
      </c>
    </row>
    <row r="34" spans="5:5" s="115" customFormat="1" x14ac:dyDescent="0.2"/>
    <row r="35" spans="5:5" s="115" customFormat="1" x14ac:dyDescent="0.2"/>
    <row r="36" spans="5:5" s="115" customFormat="1" x14ac:dyDescent="0.2"/>
    <row r="37" spans="5:5" s="115" customFormat="1" x14ac:dyDescent="0.2"/>
    <row r="38" spans="5:5" s="115" customFormat="1" x14ac:dyDescent="0.2"/>
    <row r="39" spans="5:5" s="115" customFormat="1" x14ac:dyDescent="0.2"/>
    <row r="40" spans="5:5" s="115" customFormat="1" x14ac:dyDescent="0.2"/>
    <row r="41" spans="5:5" s="115" customFormat="1" x14ac:dyDescent="0.2"/>
    <row r="42" spans="5:5" s="115" customFormat="1" x14ac:dyDescent="0.2"/>
    <row r="43" spans="5:5" s="115" customFormat="1" x14ac:dyDescent="0.2"/>
    <row r="44" spans="5:5" s="115" customFormat="1" x14ac:dyDescent="0.2"/>
    <row r="45" spans="5:5" s="115" customFormat="1" x14ac:dyDescent="0.2"/>
    <row r="46" spans="5:5" s="115" customFormat="1" x14ac:dyDescent="0.2"/>
    <row r="47" spans="5:5" s="115" customFormat="1" x14ac:dyDescent="0.2"/>
    <row r="48" spans="5:5" s="115" customFormat="1" x14ac:dyDescent="0.2"/>
    <row r="49" s="115" customFormat="1" x14ac:dyDescent="0.2"/>
    <row r="50" s="115" customFormat="1" ht="9" customHeight="1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sborrar_3">
                <anchor moveWithCells="1" sizeWithCells="1">
                  <from>
                    <xdr:col>8</xdr:col>
                    <xdr:colOff>9525</xdr:colOff>
                    <xdr:row>5</xdr:row>
                    <xdr:rowOff>28575</xdr:rowOff>
                  </from>
                  <to>
                    <xdr:col>9</xdr:col>
                    <xdr:colOff>342900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Option Button 3">
              <controlPr defaultSize="0" autoFill="0" autoLine="0" autoPict="0">
                <anchor moveWithCells="1">
                  <from>
                    <xdr:col>0</xdr:col>
                    <xdr:colOff>1676400</xdr:colOff>
                    <xdr:row>4</xdr:row>
                    <xdr:rowOff>28575</xdr:rowOff>
                  </from>
                  <to>
                    <xdr:col>1</xdr:col>
                    <xdr:colOff>219075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Option Button 4">
              <controlPr defaultSize="0" autoFill="0" autoLine="0" autoPict="0">
                <anchor moveWithCells="1">
                  <from>
                    <xdr:col>0</xdr:col>
                    <xdr:colOff>1666875</xdr:colOff>
                    <xdr:row>6</xdr:row>
                    <xdr:rowOff>142875</xdr:rowOff>
                  </from>
                  <to>
                    <xdr:col>1</xdr:col>
                    <xdr:colOff>219075</xdr:colOff>
                    <xdr:row>6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ull2">
    <tabColor theme="1"/>
  </sheetPr>
  <dimension ref="B1:F37"/>
  <sheetViews>
    <sheetView showGridLines="0" zoomScale="90" zoomScaleNormal="90" workbookViewId="0">
      <selection activeCell="G9" sqref="G9"/>
    </sheetView>
  </sheetViews>
  <sheetFormatPr defaultColWidth="31" defaultRowHeight="11.25" x14ac:dyDescent="0.2"/>
  <cols>
    <col min="2" max="2" width="34.33203125" bestFit="1" customWidth="1"/>
  </cols>
  <sheetData>
    <row r="1" spans="2:6" s="1" customFormat="1" x14ac:dyDescent="0.2"/>
    <row r="2" spans="2:6" s="1" customFormat="1" ht="15.75" x14ac:dyDescent="0.25">
      <c r="B2" s="136"/>
      <c r="C2" s="136"/>
      <c r="D2" s="136"/>
      <c r="E2" s="136"/>
      <c r="F2" s="136"/>
    </row>
    <row r="3" spans="2:6" s="1" customFormat="1" x14ac:dyDescent="0.2">
      <c r="B3" s="137"/>
      <c r="C3" s="137"/>
      <c r="D3" s="137"/>
      <c r="E3" s="137"/>
      <c r="F3" s="137"/>
    </row>
    <row r="4" spans="2:6" s="1" customFormat="1" ht="41.25" customHeight="1" x14ac:dyDescent="0.2"/>
    <row r="5" spans="2:6" s="1" customFormat="1" ht="35.25" customHeight="1" x14ac:dyDescent="0.2">
      <c r="B5" s="21" t="s">
        <v>72</v>
      </c>
      <c r="C5" s="22" t="s">
        <v>4</v>
      </c>
      <c r="D5" s="22" t="s">
        <v>73</v>
      </c>
      <c r="E5" s="22" t="s">
        <v>74</v>
      </c>
      <c r="F5" s="23" t="s">
        <v>75</v>
      </c>
    </row>
    <row r="6" spans="2:6" s="1" customFormat="1" ht="35.25" customHeight="1" x14ac:dyDescent="0.2">
      <c r="B6" s="24" t="s">
        <v>76</v>
      </c>
      <c r="C6" s="25" t="s">
        <v>11</v>
      </c>
      <c r="D6" s="28">
        <v>39628.800000000003</v>
      </c>
      <c r="E6" s="26">
        <f t="shared" ref="E6:E12" si="0">ROUND(D6/12,2)</f>
        <v>3302.4</v>
      </c>
      <c r="F6" s="26">
        <v>80.989999999999995</v>
      </c>
    </row>
    <row r="7" spans="2:6" s="1" customFormat="1" ht="35.25" customHeight="1" x14ac:dyDescent="0.2">
      <c r="B7" s="24" t="s">
        <v>77</v>
      </c>
      <c r="C7" s="27" t="s">
        <v>55</v>
      </c>
      <c r="D7" s="28">
        <v>38796</v>
      </c>
      <c r="E7" s="26">
        <f t="shared" si="0"/>
        <v>3233</v>
      </c>
      <c r="F7" s="28">
        <v>67.75</v>
      </c>
    </row>
    <row r="8" spans="2:6" s="1" customFormat="1" ht="35.25" customHeight="1" x14ac:dyDescent="0.2">
      <c r="B8" s="24" t="s">
        <v>77</v>
      </c>
      <c r="C8" s="27" t="s">
        <v>56</v>
      </c>
      <c r="D8" s="28">
        <v>36462.6</v>
      </c>
      <c r="E8" s="26">
        <f t="shared" si="0"/>
        <v>3038.55</v>
      </c>
      <c r="F8" s="28">
        <v>67.75</v>
      </c>
    </row>
    <row r="9" spans="2:6" s="1" customFormat="1" ht="35.25" customHeight="1" x14ac:dyDescent="0.2">
      <c r="B9" s="24" t="s">
        <v>77</v>
      </c>
      <c r="C9" s="27" t="s">
        <v>57</v>
      </c>
      <c r="D9" s="28">
        <v>34825.08</v>
      </c>
      <c r="E9" s="26">
        <f t="shared" si="0"/>
        <v>2902.09</v>
      </c>
      <c r="F9" s="28">
        <v>67.75</v>
      </c>
    </row>
    <row r="10" spans="2:6" s="1" customFormat="1" ht="35.25" customHeight="1" x14ac:dyDescent="0.2">
      <c r="B10" s="29" t="s">
        <v>78</v>
      </c>
      <c r="C10" s="30" t="s">
        <v>58</v>
      </c>
      <c r="D10" s="28">
        <v>34760.28</v>
      </c>
      <c r="E10" s="26">
        <f t="shared" si="0"/>
        <v>2896.69</v>
      </c>
      <c r="F10" s="28">
        <v>67.75</v>
      </c>
    </row>
    <row r="11" spans="2:6" s="1" customFormat="1" ht="35.25" customHeight="1" x14ac:dyDescent="0.2">
      <c r="B11" s="29" t="s">
        <v>78</v>
      </c>
      <c r="C11" s="30" t="s">
        <v>59</v>
      </c>
      <c r="D11" s="28">
        <v>32426.880000000001</v>
      </c>
      <c r="E11" s="26">
        <f t="shared" si="0"/>
        <v>2702.24</v>
      </c>
      <c r="F11" s="28">
        <v>67.75</v>
      </c>
    </row>
    <row r="12" spans="2:6" s="1" customFormat="1" ht="35.25" customHeight="1" x14ac:dyDescent="0.2">
      <c r="B12" s="29" t="s">
        <v>78</v>
      </c>
      <c r="C12" s="30" t="s">
        <v>60</v>
      </c>
      <c r="D12" s="28">
        <v>30789.360000000001</v>
      </c>
      <c r="E12" s="26">
        <f t="shared" si="0"/>
        <v>2565.7800000000002</v>
      </c>
      <c r="F12" s="28">
        <v>67.75</v>
      </c>
    </row>
    <row r="13" spans="2:6" s="1" customFormat="1" x14ac:dyDescent="0.2"/>
    <row r="14" spans="2:6" s="1" customFormat="1" x14ac:dyDescent="0.2"/>
    <row r="15" spans="2:6" s="1" customFormat="1" x14ac:dyDescent="0.2"/>
    <row r="16" spans="2:6" s="1" customFormat="1" x14ac:dyDescent="0.2">
      <c r="E16" s="131"/>
    </row>
    <row r="17" spans="6:6" s="1" customFormat="1" x14ac:dyDescent="0.2"/>
    <row r="18" spans="6:6" s="1" customFormat="1" x14ac:dyDescent="0.2"/>
    <row r="19" spans="6:6" s="1" customFormat="1" x14ac:dyDescent="0.2"/>
    <row r="20" spans="6:6" s="1" customFormat="1" x14ac:dyDescent="0.2"/>
    <row r="21" spans="6:6" s="1" customFormat="1" x14ac:dyDescent="0.2"/>
    <row r="22" spans="6:6" s="1" customFormat="1" x14ac:dyDescent="0.2"/>
    <row r="23" spans="6:6" s="1" customFormat="1" ht="12" x14ac:dyDescent="0.2">
      <c r="F23" s="3"/>
    </row>
    <row r="24" spans="6:6" s="1" customFormat="1" ht="12" x14ac:dyDescent="0.2">
      <c r="F24" s="2"/>
    </row>
    <row r="25" spans="6:6" s="1" customFormat="1" ht="12" x14ac:dyDescent="0.2">
      <c r="F25" s="3"/>
    </row>
    <row r="26" spans="6:6" s="1" customFormat="1" ht="12" x14ac:dyDescent="0.2">
      <c r="F26" s="2"/>
    </row>
    <row r="27" spans="6:6" s="1" customFormat="1" ht="12" x14ac:dyDescent="0.2">
      <c r="F27" s="2"/>
    </row>
    <row r="28" spans="6:6" s="1" customFormat="1" ht="12" x14ac:dyDescent="0.2">
      <c r="F28" s="2"/>
    </row>
    <row r="29" spans="6:6" s="1" customFormat="1" ht="12" x14ac:dyDescent="0.2">
      <c r="F29" s="2"/>
    </row>
    <row r="30" spans="6:6" s="1" customFormat="1" x14ac:dyDescent="0.2"/>
    <row r="31" spans="6:6" s="1" customFormat="1" x14ac:dyDescent="0.2"/>
    <row r="32" spans="6:6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</sheetData>
  <sheetProtection selectLockedCells="1" selectUnlockedCells="1"/>
  <mergeCells count="2">
    <mergeCell ref="B2:F2"/>
    <mergeCell ref="B3:F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54BA6528C73A499BC16285B8E173DC" ma:contentTypeVersion="18" ma:contentTypeDescription="Crea un document nou" ma:contentTypeScope="" ma:versionID="3a6cf264f048e497f7471c8fe0953315">
  <xsd:schema xmlns:xsd="http://www.w3.org/2001/XMLSchema" xmlns:xs="http://www.w3.org/2001/XMLSchema" xmlns:p="http://schemas.microsoft.com/office/2006/metadata/properties" xmlns:ns2="4af69165-b505-481b-9011-f24b730a8c49" xmlns:ns3="0c41f792-b750-44f5-ae1e-577e00342cf2" targetNamespace="http://schemas.microsoft.com/office/2006/metadata/properties" ma:root="true" ma:fieldsID="3629751f26c9dd9f08add9050748ff78" ns2:_="" ns3:_="">
    <xsd:import namespace="4af69165-b505-481b-9011-f24b730a8c49"/>
    <xsd:import namespace="0c41f792-b750-44f5-ae1e-577e00342c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69165-b505-481b-9011-f24b730a8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1f792-b750-44f5-ae1e-577e00342cf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d509e3e-3285-4e05-9994-47d8446c3dac}" ma:internalName="TaxCatchAll" ma:showField="CatchAllData" ma:web="0c41f792-b750-44f5-ae1e-577e00342c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f69165-b505-481b-9011-f24b730a8c49">
      <Terms xmlns="http://schemas.microsoft.com/office/infopath/2007/PartnerControls"/>
    </lcf76f155ced4ddcb4097134ff3c332f>
    <TaxCatchAll xmlns="0c41f792-b750-44f5-ae1e-577e00342cf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560B48-5306-40A3-9215-B78F34E8B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69165-b505-481b-9011-f24b730a8c49"/>
    <ds:schemaRef ds:uri="0c41f792-b750-44f5-ae1e-577e00342c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7F7E04-377B-4F4D-BAB5-CE9D07E989A9}">
  <ds:schemaRefs>
    <ds:schemaRef ds:uri="http://schemas.microsoft.com/office/2006/metadata/properties"/>
    <ds:schemaRef ds:uri="http://schemas.microsoft.com/office/infopath/2007/PartnerControls"/>
    <ds:schemaRef ds:uri="4af69165-b505-481b-9011-f24b730a8c49"/>
    <ds:schemaRef ds:uri="0c41f792-b750-44f5-ae1e-577e00342cf2"/>
  </ds:schemaRefs>
</ds:datastoreItem>
</file>

<file path=customXml/itemProps3.xml><?xml version="1.0" encoding="utf-8"?>
<ds:datastoreItem xmlns:ds="http://schemas.openxmlformats.org/officeDocument/2006/customXml" ds:itemID="{C3C511E8-4140-4E6D-8974-23E25B0E0D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6</vt:i4>
      </vt:variant>
    </vt:vector>
  </HeadingPairs>
  <TitlesOfParts>
    <vt:vector size="10" baseType="lpstr">
      <vt:lpstr>Portada</vt:lpstr>
      <vt:lpstr>Càlcul Cost Contractació </vt:lpstr>
      <vt:lpstr>Càlcul Indemnització - Vacances</vt:lpstr>
      <vt:lpstr>Informació Retribucions</vt:lpstr>
      <vt:lpstr>'Informació Retribucions'!OLE_LINK18</vt:lpstr>
      <vt:lpstr>Portada!OLE_LINK18</vt:lpstr>
      <vt:lpstr>'Informació Retribucions'!OLE_LINK3</vt:lpstr>
      <vt:lpstr>Portada!OLE_LINK3</vt:lpstr>
      <vt:lpstr>'Informació Retribucions'!OLE_LINK8</vt:lpstr>
      <vt:lpstr>Portada!OLE_LINK8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Idoia Timoner Almiñana</cp:lastModifiedBy>
  <cp:revision/>
  <dcterms:created xsi:type="dcterms:W3CDTF">2020-05-13T11:40:12Z</dcterms:created>
  <dcterms:modified xsi:type="dcterms:W3CDTF">2026-04-14T11:22:37Z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0x0101004854BA6528C73A499BC16285B8E173DC</vt:lpwstr>
  </property>
</Properties>
</file>