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N:\MEMÒRIES ACADÈMIQUES - WEB DADES\MEMÒRIA 2018-19\5. Gestió Econòmica\"/>
    </mc:Choice>
  </mc:AlternateContent>
  <bookViews>
    <workbookView xWindow="0" yWindow="0" windowWidth="28800" windowHeight="11700"/>
  </bookViews>
  <sheets>
    <sheet name="Evolució de la liquidació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39" i="1" l="1"/>
  <c r="R39" i="1"/>
  <c r="S39" i="1" s="1"/>
  <c r="T39" i="1" s="1"/>
  <c r="U39" i="1" s="1"/>
  <c r="W67" i="1" l="1"/>
  <c r="Q67" i="1"/>
  <c r="AA66" i="1"/>
  <c r="Z66" i="1"/>
  <c r="Q66" i="1"/>
  <c r="AA63" i="1"/>
  <c r="Z63" i="1"/>
  <c r="Y63" i="1"/>
  <c r="X63" i="1"/>
  <c r="W63" i="1"/>
  <c r="V63" i="1"/>
  <c r="Y62" i="1"/>
  <c r="X62" i="1"/>
  <c r="W62" i="1"/>
  <c r="V62" i="1"/>
  <c r="U62" i="1"/>
  <c r="T62" i="1"/>
  <c r="S62" i="1"/>
  <c r="R62" i="1"/>
  <c r="Q62" i="1"/>
  <c r="P62" i="1"/>
  <c r="AB61" i="1"/>
  <c r="Y61" i="1"/>
  <c r="X61" i="1"/>
  <c r="W61" i="1"/>
  <c r="V61" i="1"/>
  <c r="U61" i="1"/>
  <c r="T61" i="1"/>
  <c r="S61" i="1"/>
  <c r="R61" i="1"/>
  <c r="Q61" i="1"/>
  <c r="P61" i="1"/>
  <c r="Y60" i="1"/>
  <c r="X60" i="1"/>
  <c r="W60" i="1"/>
  <c r="V60" i="1"/>
  <c r="U60" i="1"/>
  <c r="T60" i="1"/>
  <c r="S60" i="1"/>
  <c r="R60" i="1"/>
  <c r="Q60" i="1"/>
  <c r="P60" i="1"/>
  <c r="Y59" i="1"/>
  <c r="X59" i="1"/>
  <c r="W59" i="1"/>
  <c r="V59" i="1"/>
  <c r="U59" i="1"/>
  <c r="T59" i="1"/>
  <c r="S59" i="1"/>
  <c r="R59" i="1"/>
  <c r="Q59" i="1"/>
  <c r="P59" i="1"/>
  <c r="Y58" i="1"/>
  <c r="X58" i="1"/>
  <c r="W58" i="1"/>
  <c r="V58" i="1"/>
  <c r="U58" i="1"/>
  <c r="T58" i="1"/>
  <c r="S58" i="1"/>
  <c r="R58" i="1"/>
  <c r="Q58" i="1"/>
  <c r="P58" i="1"/>
  <c r="Y57" i="1"/>
  <c r="X57" i="1"/>
  <c r="W57" i="1"/>
  <c r="V57" i="1"/>
  <c r="U57" i="1"/>
  <c r="T57" i="1"/>
  <c r="S57" i="1"/>
  <c r="R57" i="1"/>
  <c r="Q57" i="1"/>
  <c r="P57" i="1"/>
  <c r="Y56" i="1"/>
  <c r="X56" i="1"/>
  <c r="V56" i="1"/>
  <c r="S56" i="1"/>
  <c r="R56" i="1"/>
  <c r="Q56" i="1"/>
  <c r="P56" i="1"/>
  <c r="Y55" i="1"/>
  <c r="X55" i="1"/>
  <c r="W55" i="1"/>
  <c r="V55" i="1"/>
  <c r="U55" i="1"/>
  <c r="T55" i="1"/>
  <c r="S55" i="1"/>
  <c r="R55" i="1"/>
  <c r="Q55" i="1"/>
  <c r="P55" i="1"/>
  <c r="X50" i="1"/>
  <c r="W50" i="1"/>
  <c r="V50" i="1"/>
  <c r="U50" i="1"/>
  <c r="T50" i="1"/>
  <c r="S50" i="1"/>
  <c r="R50" i="1"/>
  <c r="Q50" i="1"/>
  <c r="P50" i="1"/>
  <c r="Y49" i="1"/>
  <c r="X49" i="1"/>
  <c r="W49" i="1"/>
  <c r="V49" i="1"/>
  <c r="U49" i="1"/>
  <c r="T49" i="1"/>
  <c r="S49" i="1"/>
  <c r="R49" i="1"/>
  <c r="Q49" i="1"/>
  <c r="P49" i="1"/>
  <c r="AB48" i="1"/>
  <c r="AA48" i="1"/>
  <c r="Z48" i="1"/>
  <c r="Y48" i="1"/>
  <c r="X48" i="1"/>
  <c r="W48" i="1"/>
  <c r="V48" i="1"/>
  <c r="U48" i="1"/>
  <c r="T48" i="1"/>
  <c r="S48" i="1"/>
  <c r="R48" i="1"/>
  <c r="Q48" i="1"/>
  <c r="P48" i="1"/>
  <c r="Y47" i="1"/>
  <c r="X47" i="1"/>
  <c r="W47" i="1"/>
  <c r="V47" i="1"/>
  <c r="U47" i="1"/>
  <c r="T47" i="1"/>
  <c r="S47" i="1"/>
  <c r="R47" i="1"/>
  <c r="Q47" i="1"/>
  <c r="P47" i="1"/>
  <c r="AB46" i="1"/>
  <c r="AA46" i="1"/>
  <c r="Z46" i="1"/>
  <c r="Y46" i="1"/>
  <c r="X46" i="1"/>
  <c r="W46" i="1"/>
  <c r="V46" i="1"/>
  <c r="U46" i="1"/>
  <c r="T46" i="1"/>
  <c r="S46" i="1"/>
  <c r="R46" i="1"/>
  <c r="Q46" i="1"/>
  <c r="P46" i="1"/>
  <c r="Y45" i="1"/>
  <c r="X45" i="1"/>
  <c r="W45" i="1"/>
  <c r="V45" i="1"/>
  <c r="U45" i="1"/>
  <c r="T45" i="1"/>
  <c r="S45" i="1"/>
  <c r="R45" i="1"/>
  <c r="Q45" i="1"/>
  <c r="P45" i="1"/>
  <c r="Y44" i="1"/>
  <c r="X44" i="1"/>
  <c r="W44" i="1"/>
  <c r="V44" i="1"/>
  <c r="U44" i="1"/>
  <c r="T44" i="1"/>
  <c r="S44" i="1"/>
  <c r="R44" i="1"/>
  <c r="Q44" i="1"/>
  <c r="P44" i="1"/>
  <c r="Y43" i="1"/>
  <c r="X43" i="1"/>
  <c r="W43" i="1"/>
  <c r="V43" i="1"/>
  <c r="U43" i="1"/>
  <c r="T43" i="1"/>
  <c r="S43" i="1"/>
  <c r="R43" i="1"/>
  <c r="Q43" i="1"/>
  <c r="P43" i="1"/>
  <c r="R67" i="1"/>
  <c r="AB34" i="1"/>
  <c r="AB66" i="1" s="1"/>
  <c r="Y32" i="1"/>
  <c r="X32" i="1"/>
  <c r="V32" i="1"/>
  <c r="S32" i="1"/>
  <c r="R32" i="1"/>
  <c r="Q32" i="1"/>
  <c r="P32" i="1"/>
  <c r="AB30" i="1"/>
  <c r="AB62" i="1" s="1"/>
  <c r="AA30" i="1"/>
  <c r="AA62" i="1" s="1"/>
  <c r="Z30" i="1"/>
  <c r="Z62" i="1" s="1"/>
  <c r="AA29" i="1"/>
  <c r="AA61" i="1" s="1"/>
  <c r="Z29" i="1"/>
  <c r="Z61" i="1" s="1"/>
  <c r="AB28" i="1"/>
  <c r="AB60" i="1" s="1"/>
  <c r="AA28" i="1"/>
  <c r="AA60" i="1" s="1"/>
  <c r="Z28" i="1"/>
  <c r="Z60" i="1" s="1"/>
  <c r="AB27" i="1"/>
  <c r="AA27" i="1"/>
  <c r="Z27" i="1"/>
  <c r="Z59" i="1" s="1"/>
  <c r="AB26" i="1"/>
  <c r="AB58" i="1" s="1"/>
  <c r="AA26" i="1"/>
  <c r="AA58" i="1" s="1"/>
  <c r="Z26" i="1"/>
  <c r="Z58" i="1" s="1"/>
  <c r="AB25" i="1"/>
  <c r="AB57" i="1" s="1"/>
  <c r="AA25" i="1"/>
  <c r="AA57" i="1" s="1"/>
  <c r="Z25" i="1"/>
  <c r="Z57" i="1" s="1"/>
  <c r="AB24" i="1"/>
  <c r="AB56" i="1" s="1"/>
  <c r="AA24" i="1"/>
  <c r="AA56" i="1" s="1"/>
  <c r="Z24" i="1"/>
  <c r="Z56" i="1" s="1"/>
  <c r="W24" i="1"/>
  <c r="W56" i="1" s="1"/>
  <c r="U24" i="1"/>
  <c r="U32" i="1" s="1"/>
  <c r="T24" i="1"/>
  <c r="T56" i="1" s="1"/>
  <c r="AB23" i="1"/>
  <c r="AB55" i="1" s="1"/>
  <c r="AA23" i="1"/>
  <c r="AA55" i="1" s="1"/>
  <c r="Z23" i="1"/>
  <c r="Z55" i="1" s="1"/>
  <c r="X18" i="1"/>
  <c r="W18" i="1"/>
  <c r="V18" i="1"/>
  <c r="U18" i="1"/>
  <c r="T18" i="1"/>
  <c r="S18" i="1"/>
  <c r="AB17" i="1"/>
  <c r="AA17" i="1"/>
  <c r="AB50" i="1" s="1"/>
  <c r="Z17" i="1"/>
  <c r="Z50" i="1" s="1"/>
  <c r="Y17" i="1"/>
  <c r="Y50" i="1" s="1"/>
  <c r="AB16" i="1"/>
  <c r="AA16" i="1"/>
  <c r="AA49" i="1" s="1"/>
  <c r="Z16" i="1"/>
  <c r="Z49" i="1" s="1"/>
  <c r="AB14" i="1"/>
  <c r="AA14" i="1"/>
  <c r="AB47" i="1" s="1"/>
  <c r="Z14" i="1"/>
  <c r="Z47" i="1" s="1"/>
  <c r="AB12" i="1"/>
  <c r="AA12" i="1"/>
  <c r="AA45" i="1" s="1"/>
  <c r="Z12" i="1"/>
  <c r="Z45" i="1" s="1"/>
  <c r="AB11" i="1"/>
  <c r="AA11" i="1"/>
  <c r="AB44" i="1" s="1"/>
  <c r="Z11" i="1"/>
  <c r="Z44" i="1" s="1"/>
  <c r="AB10" i="1"/>
  <c r="AA10" i="1"/>
  <c r="AB43" i="1" s="1"/>
  <c r="Z10" i="1"/>
  <c r="Z43" i="1" s="1"/>
  <c r="V34" i="1" l="1"/>
  <c r="X34" i="1"/>
  <c r="X35" i="1" s="1"/>
  <c r="X67" i="1" s="1"/>
  <c r="AB31" i="1"/>
  <c r="AB63" i="1" s="1"/>
  <c r="AB49" i="1"/>
  <c r="AA43" i="1"/>
  <c r="W51" i="1"/>
  <c r="P51" i="1"/>
  <c r="Q51" i="1"/>
  <c r="Z18" i="1"/>
  <c r="AA18" i="1"/>
  <c r="AB51" i="1" s="1"/>
  <c r="Y18" i="1"/>
  <c r="Y34" i="1" s="1"/>
  <c r="Y66" i="1" s="1"/>
  <c r="X51" i="1"/>
  <c r="AB18" i="1"/>
  <c r="AA44" i="1"/>
  <c r="S67" i="1"/>
  <c r="AA32" i="1"/>
  <c r="X64" i="1"/>
  <c r="Y64" i="1"/>
  <c r="W64" i="1"/>
  <c r="P64" i="1"/>
  <c r="S51" i="1"/>
  <c r="R51" i="1"/>
  <c r="R64" i="1"/>
  <c r="Q64" i="1"/>
  <c r="S64" i="1"/>
  <c r="U51" i="1"/>
  <c r="T51" i="1"/>
  <c r="V64" i="1"/>
  <c r="V51" i="1"/>
  <c r="T64" i="1"/>
  <c r="Z64" i="1"/>
  <c r="Y51" i="1"/>
  <c r="Z51" i="1"/>
  <c r="T32" i="1"/>
  <c r="AB59" i="1"/>
  <c r="AB45" i="1"/>
  <c r="R66" i="1"/>
  <c r="U56" i="1"/>
  <c r="U64" i="1" s="1"/>
  <c r="AA59" i="1"/>
  <c r="AA64" i="1" s="1"/>
  <c r="W32" i="1"/>
  <c r="W34" i="1" s="1"/>
  <c r="W66" i="1" s="1"/>
  <c r="AA47" i="1"/>
  <c r="Z32" i="1"/>
  <c r="AA50" i="1"/>
  <c r="AB64" i="1" l="1"/>
  <c r="X66" i="1"/>
  <c r="AB32" i="1"/>
  <c r="U66" i="1"/>
  <c r="S66" i="1"/>
  <c r="Y35" i="1"/>
  <c r="Y67" i="1" s="1"/>
  <c r="AA51" i="1"/>
  <c r="T67" i="1" l="1"/>
  <c r="U67" i="1"/>
  <c r="T66" i="1"/>
  <c r="V66" i="1"/>
  <c r="V67" i="1"/>
  <c r="Z35" i="1"/>
  <c r="AA35" i="1" s="1"/>
  <c r="Z67" i="1" l="1"/>
  <c r="AB35" i="1"/>
  <c r="AB67" i="1" s="1"/>
  <c r="AA67" i="1"/>
</calcChain>
</file>

<file path=xl/sharedStrings.xml><?xml version="1.0" encoding="utf-8"?>
<sst xmlns="http://schemas.openxmlformats.org/spreadsheetml/2006/main" count="103" uniqueCount="28">
  <si>
    <t>Evolució de la liquidació del pressupost</t>
  </si>
  <si>
    <t>En Euros corrents (milions d'Euros).</t>
  </si>
  <si>
    <t>Ingressos (Drets Liquidats)</t>
  </si>
  <si>
    <t>PTA</t>
  </si>
  <si>
    <t>Euros</t>
  </si>
  <si>
    <t>Cap. 3r. Taxes i altres ingressos</t>
  </si>
  <si>
    <t>Cap. 4t. Tranferències corrents</t>
  </si>
  <si>
    <t>Cap. 5è. Ingressos patrimonials</t>
  </si>
  <si>
    <t>Cap. 6è. Alienació d'inversions reals</t>
  </si>
  <si>
    <t>Cap. 7è. Tranferències de capital</t>
  </si>
  <si>
    <t>Cap. 8è. Variació d'actius financers (*)</t>
  </si>
  <si>
    <t>(*)</t>
  </si>
  <si>
    <t>Cap. 9è. Variació de passius financers</t>
  </si>
  <si>
    <t>(Incorporació de Romanent)</t>
  </si>
  <si>
    <t>Total</t>
  </si>
  <si>
    <t>Despeses ( Pressupost Definitiu)</t>
  </si>
  <si>
    <t>Cap. 1r. Personal</t>
  </si>
  <si>
    <t>Cap. 2n. Béns corrents i serveis</t>
  </si>
  <si>
    <t>Cap. 3r. Despeses financeres</t>
  </si>
  <si>
    <t>Cap. 6è. Inversions reals</t>
  </si>
  <si>
    <t>Cap. 7è. Transferències de capital</t>
  </si>
  <si>
    <t>Cap. 8è. Adquisició d'accions i particip. en fundacions</t>
  </si>
  <si>
    <t>(Estalvi de l'exercici)</t>
  </si>
  <si>
    <t>Dèficit/Superavit Anual</t>
  </si>
  <si>
    <t>Dèficit/Superavit Acumulat</t>
  </si>
  <si>
    <t>En Euros constants (milions d'Euros). Base 2006 = 100</t>
  </si>
  <si>
    <r>
      <rPr>
        <b/>
        <sz val="10"/>
        <rFont val="Arial"/>
        <family val="2"/>
      </rPr>
      <t xml:space="preserve">Font: </t>
    </r>
    <r>
      <rPr>
        <sz val="10"/>
        <rFont val="Arial"/>
        <family val="2"/>
      </rPr>
      <t>Oficina d’Anàlisis Econòmiques</t>
    </r>
  </si>
  <si>
    <t>OGID, Oficina de Gestió de la Informació i de la Documentació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</si>
</sst>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,##0.000"/>
    <numFmt numFmtId="165" formatCode="#,##0.000000"/>
    <numFmt numFmtId="166" formatCode="#,##0.0000"/>
    <numFmt numFmtId="167" formatCode="#,##0.00000"/>
  </numFmts>
  <fonts count="6" x14ac:knownFonts="1">
    <font>
      <sz val="10"/>
      <name val="Arial"/>
      <family val="2"/>
    </font>
    <font>
      <b/>
      <i/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10"/>
      <color theme="0"/>
      <name val="Arial"/>
      <family val="2"/>
    </font>
    <font>
      <sz val="14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</borders>
  <cellStyleXfs count="1">
    <xf numFmtId="0" fontId="0" fillId="0" borderId="0"/>
  </cellStyleXfs>
  <cellXfs count="34">
    <xf numFmtId="0" fontId="0" fillId="0" borderId="0" xfId="0"/>
    <xf numFmtId="3" fontId="1" fillId="0" borderId="0" xfId="0" applyNumberFormat="1" applyFont="1"/>
    <xf numFmtId="3" fontId="1" fillId="0" borderId="0" xfId="0" applyNumberFormat="1" applyFont="1" applyFill="1"/>
    <xf numFmtId="3" fontId="3" fillId="0" borderId="0" xfId="0" applyNumberFormat="1" applyFont="1"/>
    <xf numFmtId="4" fontId="2" fillId="0" borderId="0" xfId="0" applyNumberFormat="1" applyFont="1"/>
    <xf numFmtId="3" fontId="2" fillId="0" borderId="0" xfId="0" applyNumberFormat="1" applyFont="1" applyAlignment="1">
      <alignment horizontal="right"/>
    </xf>
    <xf numFmtId="3" fontId="2" fillId="0" borderId="0" xfId="0" applyNumberFormat="1" applyFont="1"/>
    <xf numFmtId="4" fontId="2" fillId="0" borderId="0" xfId="0" applyNumberFormat="1" applyFont="1" applyFill="1"/>
    <xf numFmtId="3" fontId="2" fillId="0" borderId="0" xfId="0" applyNumberFormat="1" applyFont="1" applyFill="1"/>
    <xf numFmtId="3" fontId="0" fillId="0" borderId="0" xfId="0" applyNumberFormat="1" applyFont="1"/>
    <xf numFmtId="3" fontId="0" fillId="0" borderId="0" xfId="0" applyNumberFormat="1" applyFont="1" applyFill="1"/>
    <xf numFmtId="4" fontId="0" fillId="0" borderId="0" xfId="0" applyNumberFormat="1" applyFont="1"/>
    <xf numFmtId="4" fontId="0" fillId="0" borderId="0" xfId="0" applyNumberFormat="1" applyFont="1" applyFill="1"/>
    <xf numFmtId="3" fontId="0" fillId="2" borderId="0" xfId="0" applyNumberFormat="1" applyFont="1" applyFill="1"/>
    <xf numFmtId="164" fontId="0" fillId="0" borderId="0" xfId="0" applyNumberFormat="1" applyFont="1" applyFill="1"/>
    <xf numFmtId="164" fontId="0" fillId="0" borderId="0" xfId="0" applyNumberFormat="1" applyFont="1"/>
    <xf numFmtId="165" fontId="0" fillId="0" borderId="0" xfId="0" applyNumberFormat="1" applyFont="1"/>
    <xf numFmtId="166" fontId="0" fillId="0" borderId="0" xfId="0" applyNumberFormat="1" applyFont="1"/>
    <xf numFmtId="166" fontId="0" fillId="0" borderId="0" xfId="0" applyNumberFormat="1" applyFont="1" applyFill="1"/>
    <xf numFmtId="10" fontId="0" fillId="0" borderId="0" xfId="0" applyNumberFormat="1" applyFont="1"/>
    <xf numFmtId="10" fontId="0" fillId="0" borderId="0" xfId="0" applyNumberFormat="1" applyFont="1" applyFill="1"/>
    <xf numFmtId="167" fontId="0" fillId="0" borderId="0" xfId="0" applyNumberFormat="1" applyFont="1"/>
    <xf numFmtId="167" fontId="0" fillId="0" borderId="0" xfId="0" applyNumberFormat="1" applyFont="1" applyFill="1"/>
    <xf numFmtId="3" fontId="2" fillId="0" borderId="1" xfId="0" applyNumberFormat="1" applyFont="1" applyBorder="1"/>
    <xf numFmtId="3" fontId="2" fillId="0" borderId="1" xfId="0" applyNumberFormat="1" applyFont="1" applyBorder="1" applyAlignment="1">
      <alignment horizontal="center"/>
    </xf>
    <xf numFmtId="3" fontId="2" fillId="0" borderId="2" xfId="0" applyNumberFormat="1" applyFont="1" applyBorder="1" applyAlignment="1">
      <alignment horizontal="center"/>
    </xf>
    <xf numFmtId="3" fontId="2" fillId="0" borderId="2" xfId="0" applyNumberFormat="1" applyFont="1" applyFill="1" applyBorder="1" applyAlignment="1">
      <alignment horizontal="center"/>
    </xf>
    <xf numFmtId="3" fontId="2" fillId="0" borderId="0" xfId="0" applyNumberFormat="1" applyFont="1" applyBorder="1"/>
    <xf numFmtId="3" fontId="2" fillId="0" borderId="1" xfId="0" applyNumberFormat="1" applyFont="1" applyFill="1" applyBorder="1"/>
    <xf numFmtId="3" fontId="5" fillId="0" borderId="0" xfId="0" applyNumberFormat="1" applyFont="1"/>
    <xf numFmtId="4" fontId="0" fillId="0" borderId="3" xfId="0" applyNumberFormat="1" applyFont="1" applyFill="1" applyBorder="1"/>
    <xf numFmtId="167" fontId="4" fillId="3" borderId="3" xfId="0" applyNumberFormat="1" applyFont="1" applyFill="1" applyBorder="1"/>
    <xf numFmtId="165" fontId="4" fillId="3" borderId="3" xfId="0" applyNumberFormat="1" applyFont="1" applyFill="1" applyBorder="1"/>
    <xf numFmtId="0" fontId="0" fillId="0" borderId="0" xfId="0" applyFont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73"/>
  <sheetViews>
    <sheetView tabSelected="1" zoomScale="110" zoomScaleNormal="110" workbookViewId="0">
      <selection activeCell="A3" sqref="A3"/>
    </sheetView>
  </sheetViews>
  <sheetFormatPr baseColWidth="10" defaultRowHeight="15" customHeight="1" x14ac:dyDescent="0.2"/>
  <cols>
    <col min="1" max="1" width="37.5703125" style="9" customWidth="1"/>
    <col min="2" max="2" width="12.5703125" style="9" hidden="1" customWidth="1"/>
    <col min="3" max="11" width="10" style="9" hidden="1" customWidth="1"/>
    <col min="12" max="14" width="9.42578125" style="9" hidden="1" customWidth="1"/>
    <col min="15" max="15" width="2.5703125" style="9" hidden="1" customWidth="1"/>
    <col min="16" max="18" width="9.42578125" style="10" customWidth="1"/>
    <col min="19" max="19" width="12.42578125" style="9" customWidth="1"/>
    <col min="20" max="16384" width="11.42578125" style="9"/>
  </cols>
  <sheetData>
    <row r="1" spans="1:28" ht="18" x14ac:dyDescent="0.25">
      <c r="A1" s="29" t="s">
        <v>0</v>
      </c>
    </row>
    <row r="2" spans="1:28" ht="15" customHeight="1" x14ac:dyDescent="0.25">
      <c r="A2" s="29"/>
    </row>
    <row r="3" spans="1:28" ht="15" customHeight="1" x14ac:dyDescent="0.2">
      <c r="A3" s="9" t="s">
        <v>26</v>
      </c>
    </row>
    <row r="5" spans="1:28" ht="15" customHeight="1" x14ac:dyDescent="0.2">
      <c r="A5" s="6" t="s">
        <v>1</v>
      </c>
    </row>
    <row r="7" spans="1:28" s="6" customFormat="1" ht="15" customHeight="1" x14ac:dyDescent="0.2">
      <c r="A7" s="23" t="s">
        <v>2</v>
      </c>
      <c r="B7" s="23">
        <v>1997</v>
      </c>
      <c r="C7" s="24">
        <v>1998</v>
      </c>
      <c r="D7" s="24">
        <v>1998</v>
      </c>
      <c r="E7" s="24">
        <v>1999</v>
      </c>
      <c r="F7" s="24">
        <v>1999</v>
      </c>
      <c r="G7" s="24">
        <v>2000</v>
      </c>
      <c r="H7" s="24">
        <v>2000</v>
      </c>
      <c r="I7" s="24">
        <v>2001</v>
      </c>
      <c r="J7" s="24">
        <v>2001</v>
      </c>
      <c r="K7" s="24">
        <v>2002</v>
      </c>
      <c r="L7" s="24">
        <v>2003</v>
      </c>
      <c r="M7" s="24">
        <v>2004</v>
      </c>
      <c r="N7" s="25">
        <v>2005</v>
      </c>
      <c r="O7" s="25"/>
      <c r="P7" s="26">
        <v>2006</v>
      </c>
      <c r="Q7" s="26">
        <v>2007</v>
      </c>
      <c r="R7" s="26">
        <v>2008</v>
      </c>
      <c r="S7" s="26">
        <v>2009</v>
      </c>
      <c r="T7" s="26">
        <v>2010</v>
      </c>
      <c r="U7" s="26">
        <v>2011</v>
      </c>
      <c r="V7" s="26">
        <v>2012</v>
      </c>
      <c r="W7" s="26">
        <v>2013</v>
      </c>
      <c r="X7" s="26">
        <v>2014</v>
      </c>
      <c r="Y7" s="26">
        <v>2015</v>
      </c>
      <c r="Z7" s="26">
        <v>2016</v>
      </c>
      <c r="AA7" s="26">
        <v>2017</v>
      </c>
      <c r="AB7" s="26">
        <v>2018</v>
      </c>
    </row>
    <row r="8" spans="1:28" s="6" customFormat="1" ht="15" customHeight="1" x14ac:dyDescent="0.2">
      <c r="A8" s="27"/>
      <c r="B8" s="27"/>
      <c r="C8" s="25" t="s">
        <v>3</v>
      </c>
      <c r="D8" s="25" t="s">
        <v>4</v>
      </c>
      <c r="E8" s="25" t="s">
        <v>3</v>
      </c>
      <c r="F8" s="25" t="s">
        <v>4</v>
      </c>
      <c r="G8" s="25" t="s">
        <v>3</v>
      </c>
      <c r="H8" s="25" t="s">
        <v>4</v>
      </c>
      <c r="I8" s="25" t="s">
        <v>3</v>
      </c>
      <c r="J8" s="25" t="s">
        <v>4</v>
      </c>
      <c r="K8" s="25" t="s">
        <v>4</v>
      </c>
      <c r="L8" s="25" t="s">
        <v>4</v>
      </c>
      <c r="M8" s="25" t="s">
        <v>4</v>
      </c>
      <c r="N8" s="25" t="s">
        <v>4</v>
      </c>
      <c r="O8" s="25"/>
      <c r="P8" s="26" t="s">
        <v>4</v>
      </c>
      <c r="Q8" s="26" t="s">
        <v>4</v>
      </c>
      <c r="R8" s="26" t="s">
        <v>4</v>
      </c>
      <c r="S8" s="26" t="s">
        <v>4</v>
      </c>
      <c r="T8" s="26" t="s">
        <v>4</v>
      </c>
      <c r="U8" s="26" t="s">
        <v>4</v>
      </c>
      <c r="V8" s="26" t="s">
        <v>4</v>
      </c>
      <c r="W8" s="26" t="s">
        <v>4</v>
      </c>
      <c r="X8" s="26" t="s">
        <v>4</v>
      </c>
      <c r="Y8" s="26" t="s">
        <v>4</v>
      </c>
      <c r="Z8" s="26" t="s">
        <v>4</v>
      </c>
      <c r="AA8" s="26" t="s">
        <v>4</v>
      </c>
      <c r="AB8" s="26" t="s">
        <v>4</v>
      </c>
    </row>
    <row r="9" spans="1:28" s="1" customFormat="1" ht="15" customHeight="1" x14ac:dyDescent="0.2">
      <c r="P9" s="2"/>
      <c r="Q9" s="2"/>
      <c r="R9" s="2"/>
    </row>
    <row r="10" spans="1:28" ht="15" customHeight="1" x14ac:dyDescent="0.2">
      <c r="A10" s="9" t="s">
        <v>5</v>
      </c>
      <c r="B10" s="9">
        <v>4913</v>
      </c>
      <c r="C10" s="9">
        <v>5301</v>
      </c>
      <c r="D10" s="11">
        <v>31.859651653384301</v>
      </c>
      <c r="E10" s="10">
        <v>5798</v>
      </c>
      <c r="F10" s="11">
        <v>34.846681812171695</v>
      </c>
      <c r="G10" s="10">
        <v>6051</v>
      </c>
      <c r="H10" s="11">
        <v>36.367242436262664</v>
      </c>
      <c r="I10" s="10">
        <v>6893</v>
      </c>
      <c r="J10" s="11">
        <v>41.43</v>
      </c>
      <c r="K10" s="11">
        <v>42.6</v>
      </c>
      <c r="L10" s="11">
        <v>43.75</v>
      </c>
      <c r="M10" s="11">
        <v>47.34</v>
      </c>
      <c r="N10" s="11">
        <v>60.54</v>
      </c>
      <c r="O10" s="11"/>
      <c r="P10" s="12">
        <v>65.980999999999995</v>
      </c>
      <c r="Q10" s="12">
        <v>70.478999999999999</v>
      </c>
      <c r="R10" s="12">
        <v>73.914000000000001</v>
      </c>
      <c r="S10" s="11">
        <v>75.08</v>
      </c>
      <c r="T10" s="11">
        <v>82.5</v>
      </c>
      <c r="U10" s="11">
        <v>89.52</v>
      </c>
      <c r="V10" s="11">
        <v>105.08</v>
      </c>
      <c r="W10" s="11">
        <v>101.04029</v>
      </c>
      <c r="X10" s="11">
        <v>103.98</v>
      </c>
      <c r="Y10" s="11">
        <v>105.919</v>
      </c>
      <c r="Z10" s="11">
        <f>107934233/1000000</f>
        <v>107.93423300000001</v>
      </c>
      <c r="AA10" s="11">
        <f>108697766/1000000</f>
        <v>108.697766</v>
      </c>
      <c r="AB10" s="11">
        <f>106458852.49/1000000</f>
        <v>106.45885249</v>
      </c>
    </row>
    <row r="11" spans="1:28" ht="15" customHeight="1" x14ac:dyDescent="0.2">
      <c r="A11" s="9" t="s">
        <v>6</v>
      </c>
      <c r="B11" s="9">
        <v>14015</v>
      </c>
      <c r="C11" s="9">
        <v>14566</v>
      </c>
      <c r="D11" s="11">
        <v>87.543423124541732</v>
      </c>
      <c r="E11" s="10">
        <v>15153</v>
      </c>
      <c r="F11" s="11">
        <v>91.071364177274532</v>
      </c>
      <c r="G11" s="10">
        <v>16372</v>
      </c>
      <c r="H11" s="11">
        <v>98.397701729712836</v>
      </c>
      <c r="I11" s="10">
        <v>17006</v>
      </c>
      <c r="J11" s="11">
        <v>102.21</v>
      </c>
      <c r="K11" s="11">
        <v>109.21</v>
      </c>
      <c r="L11" s="11">
        <v>116.62</v>
      </c>
      <c r="M11" s="11">
        <v>134.88</v>
      </c>
      <c r="N11" s="11">
        <v>142.22999999999999</v>
      </c>
      <c r="O11" s="11"/>
      <c r="P11" s="12">
        <v>159.833</v>
      </c>
      <c r="Q11" s="12">
        <v>190.78299999999999</v>
      </c>
      <c r="R11" s="12">
        <v>206.30199999999999</v>
      </c>
      <c r="S11" s="11">
        <v>231.14</v>
      </c>
      <c r="T11" s="11">
        <v>227.434</v>
      </c>
      <c r="U11" s="11">
        <v>188.36</v>
      </c>
      <c r="V11" s="11">
        <v>168.31</v>
      </c>
      <c r="W11" s="11">
        <v>167.923305</v>
      </c>
      <c r="X11" s="11">
        <v>166.5</v>
      </c>
      <c r="Y11" s="11">
        <v>176.22800000000001</v>
      </c>
      <c r="Z11" s="11">
        <f>175399606/1000000</f>
        <v>175.39960600000001</v>
      </c>
      <c r="AA11" s="11">
        <f>173438019/1000000</f>
        <v>173.438019</v>
      </c>
      <c r="AB11" s="11">
        <f>177789482.92/1000000</f>
        <v>177.78948291999998</v>
      </c>
    </row>
    <row r="12" spans="1:28" ht="15" customHeight="1" x14ac:dyDescent="0.2">
      <c r="A12" s="9" t="s">
        <v>7</v>
      </c>
      <c r="B12" s="9">
        <v>131</v>
      </c>
      <c r="C12" s="9">
        <v>138</v>
      </c>
      <c r="D12" s="11">
        <v>0.82939670404961963</v>
      </c>
      <c r="E12" s="10">
        <v>184</v>
      </c>
      <c r="F12" s="11">
        <v>1.1058622720661595</v>
      </c>
      <c r="G12" s="10">
        <v>189</v>
      </c>
      <c r="H12" s="11">
        <v>1.1359128772853486</v>
      </c>
      <c r="I12" s="10">
        <v>243</v>
      </c>
      <c r="J12" s="11">
        <v>1.46</v>
      </c>
      <c r="K12" s="11">
        <v>1.6</v>
      </c>
      <c r="L12" s="11">
        <v>1.1000000000000001</v>
      </c>
      <c r="M12" s="11">
        <v>0.99</v>
      </c>
      <c r="N12" s="11">
        <v>0.73399999999999999</v>
      </c>
      <c r="O12" s="11"/>
      <c r="P12" s="12">
        <v>0.78</v>
      </c>
      <c r="Q12" s="12">
        <v>1.0089999999999999</v>
      </c>
      <c r="R12" s="12">
        <v>0.93100000000000005</v>
      </c>
      <c r="S12" s="11">
        <v>0.70799999999999996</v>
      </c>
      <c r="T12" s="11">
        <v>0.82099999999999995</v>
      </c>
      <c r="U12" s="11">
        <v>0.79</v>
      </c>
      <c r="V12" s="11">
        <v>0.68</v>
      </c>
      <c r="W12" s="11">
        <v>0.99</v>
      </c>
      <c r="X12" s="11">
        <v>0.71</v>
      </c>
      <c r="Y12" s="11">
        <v>0.97299999999999998</v>
      </c>
      <c r="Z12" s="11">
        <f>1440332/1000000</f>
        <v>1.4403319999999999</v>
      </c>
      <c r="AA12" s="11">
        <f>1108260/1000000</f>
        <v>1.10826</v>
      </c>
      <c r="AB12" s="11">
        <f>1318990.9/1000000</f>
        <v>1.3189909</v>
      </c>
    </row>
    <row r="13" spans="1:28" ht="15" customHeight="1" x14ac:dyDescent="0.2">
      <c r="A13" s="9" t="s">
        <v>8</v>
      </c>
      <c r="B13" s="9">
        <v>47</v>
      </c>
      <c r="C13" s="9">
        <v>0</v>
      </c>
      <c r="D13" s="11">
        <v>0</v>
      </c>
      <c r="E13" s="10">
        <v>0</v>
      </c>
      <c r="F13" s="11">
        <v>0</v>
      </c>
      <c r="G13" s="10">
        <v>0</v>
      </c>
      <c r="H13" s="11">
        <v>0</v>
      </c>
      <c r="I13" s="10">
        <v>0</v>
      </c>
      <c r="J13" s="11">
        <v>0</v>
      </c>
      <c r="K13" s="11">
        <v>0</v>
      </c>
      <c r="L13" s="11">
        <v>0</v>
      </c>
      <c r="M13" s="11">
        <v>0</v>
      </c>
      <c r="N13" s="11">
        <v>0</v>
      </c>
      <c r="O13" s="11"/>
      <c r="P13" s="12">
        <v>0</v>
      </c>
      <c r="Q13" s="12">
        <v>0</v>
      </c>
      <c r="R13" s="12">
        <v>0</v>
      </c>
      <c r="S13" s="11">
        <v>0</v>
      </c>
      <c r="T13" s="11">
        <v>0</v>
      </c>
      <c r="U13" s="11">
        <v>0</v>
      </c>
      <c r="V13" s="11">
        <v>0</v>
      </c>
      <c r="W13" s="11">
        <v>0</v>
      </c>
      <c r="X13" s="11">
        <v>2.61</v>
      </c>
      <c r="Y13" s="11">
        <v>4.0000000000000001E-3</v>
      </c>
      <c r="Z13" s="11">
        <v>0</v>
      </c>
      <c r="AA13" s="11">
        <v>0</v>
      </c>
      <c r="AB13" s="11">
        <v>0</v>
      </c>
    </row>
    <row r="14" spans="1:28" ht="15" customHeight="1" x14ac:dyDescent="0.2">
      <c r="A14" s="9" t="s">
        <v>9</v>
      </c>
      <c r="B14" s="9">
        <v>2844</v>
      </c>
      <c r="C14" s="9">
        <v>3252</v>
      </c>
      <c r="D14" s="11">
        <v>19.544913634560601</v>
      </c>
      <c r="E14" s="10">
        <v>3982</v>
      </c>
      <c r="F14" s="11">
        <v>23.932301996562213</v>
      </c>
      <c r="G14" s="10">
        <v>3597.5</v>
      </c>
      <c r="H14" s="11">
        <v>21.621410455206568</v>
      </c>
      <c r="I14" s="10">
        <v>4537</v>
      </c>
      <c r="J14" s="11">
        <v>27.27</v>
      </c>
      <c r="K14" s="11">
        <v>38.28</v>
      </c>
      <c r="L14" s="11">
        <v>34.869999999999997</v>
      </c>
      <c r="M14" s="11">
        <v>43.35</v>
      </c>
      <c r="N14" s="11">
        <v>45.914000000000001</v>
      </c>
      <c r="O14" s="11"/>
      <c r="P14" s="12">
        <v>44.262999999999998</v>
      </c>
      <c r="Q14" s="12">
        <v>42.68</v>
      </c>
      <c r="R14" s="12">
        <v>49.006999999999998</v>
      </c>
      <c r="S14" s="11">
        <v>56.66</v>
      </c>
      <c r="T14" s="11">
        <v>54.639000000000003</v>
      </c>
      <c r="U14" s="11">
        <v>38.35</v>
      </c>
      <c r="V14" s="11">
        <v>23.92</v>
      </c>
      <c r="W14" s="11">
        <v>22.83</v>
      </c>
      <c r="X14" s="11">
        <v>24.65</v>
      </c>
      <c r="Y14" s="11">
        <v>23.684999999999999</v>
      </c>
      <c r="Z14" s="11">
        <f>24764876/1000000</f>
        <v>24.764876000000001</v>
      </c>
      <c r="AA14" s="11">
        <f>26442152/1000000</f>
        <v>26.442152</v>
      </c>
      <c r="AB14" s="11">
        <f>29325873.77/1000000</f>
        <v>29.325873770000001</v>
      </c>
    </row>
    <row r="15" spans="1:28" ht="15" customHeight="1" x14ac:dyDescent="0.2">
      <c r="A15" s="9" t="s">
        <v>10</v>
      </c>
      <c r="B15" s="9">
        <v>3700</v>
      </c>
      <c r="C15" s="9">
        <v>4712</v>
      </c>
      <c r="D15" s="11">
        <v>28.319690358563822</v>
      </c>
      <c r="E15" s="13">
        <v>4859</v>
      </c>
      <c r="F15" s="11">
        <v>29.203178152007983</v>
      </c>
      <c r="G15" s="10">
        <v>5554</v>
      </c>
      <c r="H15" s="11">
        <v>33.380212277475266</v>
      </c>
      <c r="I15" s="10">
        <v>8502</v>
      </c>
      <c r="J15" s="11">
        <v>51.1</v>
      </c>
      <c r="K15" s="11">
        <v>55.66</v>
      </c>
      <c r="L15" s="11">
        <v>45.81</v>
      </c>
      <c r="M15" s="11">
        <v>148.02000000000001</v>
      </c>
      <c r="N15" s="11">
        <v>12.138</v>
      </c>
      <c r="O15" s="4" t="s">
        <v>11</v>
      </c>
      <c r="P15" s="12">
        <v>0</v>
      </c>
      <c r="Q15" s="12">
        <v>1.0629999999999999</v>
      </c>
      <c r="R15" s="12">
        <v>0.53800000000000003</v>
      </c>
      <c r="S15" s="12">
        <v>0.54</v>
      </c>
      <c r="T15" s="12">
        <v>0.53800000000000003</v>
      </c>
      <c r="U15" s="12">
        <v>0.55000000000000004</v>
      </c>
      <c r="V15" s="12">
        <v>0.56000000000000005</v>
      </c>
      <c r="W15" s="11">
        <v>0.53</v>
      </c>
      <c r="X15" s="11">
        <v>0.53</v>
      </c>
      <c r="Y15" s="11">
        <v>1.0620000000000001</v>
      </c>
      <c r="Z15" s="11">
        <v>0</v>
      </c>
      <c r="AA15" s="11">
        <v>0</v>
      </c>
      <c r="AB15" s="11">
        <v>0</v>
      </c>
    </row>
    <row r="16" spans="1:28" ht="15" customHeight="1" x14ac:dyDescent="0.2">
      <c r="A16" s="9" t="s">
        <v>12</v>
      </c>
      <c r="B16" s="9">
        <v>7378</v>
      </c>
      <c r="C16" s="9">
        <v>2108</v>
      </c>
      <c r="D16" s="11">
        <v>12.669335160410132</v>
      </c>
      <c r="E16" s="10">
        <v>12365</v>
      </c>
      <c r="F16" s="11">
        <v>74.31514670705468</v>
      </c>
      <c r="G16" s="10">
        <v>5081.5</v>
      </c>
      <c r="H16" s="11">
        <v>30.540430084261899</v>
      </c>
      <c r="I16" s="10">
        <v>3414</v>
      </c>
      <c r="J16" s="11">
        <v>20.52</v>
      </c>
      <c r="K16" s="11">
        <v>1.07</v>
      </c>
      <c r="L16" s="11">
        <v>13.48</v>
      </c>
      <c r="M16" s="11">
        <v>11.6</v>
      </c>
      <c r="N16" s="11">
        <v>8.1509999999999998</v>
      </c>
      <c r="O16" s="11"/>
      <c r="P16" s="12">
        <v>10.36</v>
      </c>
      <c r="Q16" s="12">
        <v>6.7190000000000003</v>
      </c>
      <c r="R16" s="12">
        <v>1.518</v>
      </c>
      <c r="S16" s="11">
        <v>2.4470000000000001</v>
      </c>
      <c r="T16" s="11">
        <v>1.5609999999999999</v>
      </c>
      <c r="U16" s="11">
        <v>0.5</v>
      </c>
      <c r="V16" s="11">
        <v>0.99</v>
      </c>
      <c r="W16" s="11">
        <v>0.79</v>
      </c>
      <c r="X16" s="11">
        <v>-4.0000000000000001E-3</v>
      </c>
      <c r="Y16" s="11">
        <v>4.8129999999999997</v>
      </c>
      <c r="Z16" s="11">
        <f>1300398/1000000</f>
        <v>1.3003979999999999</v>
      </c>
      <c r="AA16" s="11">
        <f>4903530/1000000</f>
        <v>4.9035299999999999</v>
      </c>
      <c r="AB16" s="11">
        <f>1503833.2/1000000</f>
        <v>1.5038331999999999</v>
      </c>
    </row>
    <row r="17" spans="1:28" ht="15" customHeight="1" x14ac:dyDescent="0.2">
      <c r="A17" s="9" t="s">
        <v>13</v>
      </c>
      <c r="D17" s="11"/>
      <c r="E17" s="10"/>
      <c r="F17" s="11"/>
      <c r="G17" s="10"/>
      <c r="H17" s="11"/>
      <c r="I17" s="10"/>
      <c r="J17" s="11"/>
      <c r="K17" s="11"/>
      <c r="L17" s="11"/>
      <c r="M17" s="11"/>
      <c r="N17" s="11">
        <v>35.864000000000004</v>
      </c>
      <c r="O17" s="11"/>
      <c r="P17" s="12">
        <v>35.090000000000003</v>
      </c>
      <c r="Q17" s="12">
        <v>45.893000000000001</v>
      </c>
      <c r="R17" s="12">
        <v>50.22</v>
      </c>
      <c r="S17" s="11">
        <v>49.734999999999999</v>
      </c>
      <c r="T17" s="11">
        <v>72.870999999999995</v>
      </c>
      <c r="U17" s="12">
        <v>89.3</v>
      </c>
      <c r="V17" s="12">
        <v>130.84700000000001</v>
      </c>
      <c r="W17" s="12">
        <v>111.624</v>
      </c>
      <c r="X17" s="12">
        <v>94.46</v>
      </c>
      <c r="Y17" s="12">
        <f>88.59-0.531</f>
        <v>88.058999999999997</v>
      </c>
      <c r="Z17" s="12">
        <f>87305283/1000000</f>
        <v>87.305283000000003</v>
      </c>
      <c r="AA17" s="12">
        <f>83731783/1000000</f>
        <v>83.731782999999993</v>
      </c>
      <c r="AB17" s="12">
        <f>84234291.05/1000000</f>
        <v>84.234291049999996</v>
      </c>
    </row>
    <row r="18" spans="1:28" s="6" customFormat="1" ht="15" customHeight="1" x14ac:dyDescent="0.2">
      <c r="A18" s="5" t="s">
        <v>14</v>
      </c>
      <c r="B18" s="6">
        <v>33028</v>
      </c>
      <c r="C18" s="6">
        <v>30077</v>
      </c>
      <c r="D18" s="4">
        <v>180.7664106355102</v>
      </c>
      <c r="E18" s="6">
        <v>42341</v>
      </c>
      <c r="F18" s="4">
        <v>254.47453511713726</v>
      </c>
      <c r="G18" s="6">
        <v>36845</v>
      </c>
      <c r="H18" s="4">
        <v>221.44290986020459</v>
      </c>
      <c r="I18" s="6">
        <v>40595</v>
      </c>
      <c r="J18" s="4">
        <v>243.98086377459643</v>
      </c>
      <c r="K18" s="4">
        <v>248.41</v>
      </c>
      <c r="L18" s="4">
        <v>255.62</v>
      </c>
      <c r="M18" s="4">
        <v>386.18</v>
      </c>
      <c r="N18" s="4">
        <v>305.57100000000003</v>
      </c>
      <c r="O18" s="4"/>
      <c r="P18" s="7">
        <v>316.30700000000002</v>
      </c>
      <c r="Q18" s="7">
        <v>358.62599999999998</v>
      </c>
      <c r="R18" s="7">
        <v>382.43</v>
      </c>
      <c r="S18" s="4">
        <f t="shared" ref="S18:X18" si="0">SUM(S10:S17)</f>
        <v>416.31</v>
      </c>
      <c r="T18" s="4">
        <f t="shared" si="0"/>
        <v>440.36399999999998</v>
      </c>
      <c r="U18" s="4">
        <f t="shared" si="0"/>
        <v>407.37000000000006</v>
      </c>
      <c r="V18" s="4">
        <f t="shared" si="0"/>
        <v>430.38700000000006</v>
      </c>
      <c r="W18" s="4">
        <f t="shared" si="0"/>
        <v>405.72759499999995</v>
      </c>
      <c r="X18" s="4">
        <f t="shared" si="0"/>
        <v>393.43599999999992</v>
      </c>
      <c r="Y18" s="4">
        <f>SUM(Y10:Y17)</f>
        <v>400.74300000000005</v>
      </c>
      <c r="Z18" s="4">
        <f>SUM(Z10:Z17)</f>
        <v>398.14472799999999</v>
      </c>
      <c r="AA18" s="4">
        <f>SUM(AA10:AA17)</f>
        <v>398.32150999999999</v>
      </c>
      <c r="AB18" s="4">
        <f>SUM(AB10:AB17)</f>
        <v>400.63132432999998</v>
      </c>
    </row>
    <row r="19" spans="1:28" ht="15" customHeight="1" x14ac:dyDescent="0.2">
      <c r="A19" s="3"/>
      <c r="R19" s="14"/>
      <c r="Y19" s="15"/>
      <c r="Z19" s="15"/>
      <c r="AA19" s="15"/>
      <c r="AB19" s="15"/>
    </row>
    <row r="20" spans="1:28" ht="15" customHeight="1" x14ac:dyDescent="0.2">
      <c r="A20" s="23" t="s">
        <v>15</v>
      </c>
      <c r="B20" s="23">
        <v>1997</v>
      </c>
      <c r="C20" s="23">
        <v>1998</v>
      </c>
      <c r="D20" s="23">
        <v>1998</v>
      </c>
      <c r="E20" s="23">
        <v>1999</v>
      </c>
      <c r="F20" s="23">
        <v>1999</v>
      </c>
      <c r="G20" s="23">
        <v>2000</v>
      </c>
      <c r="H20" s="23">
        <v>2000</v>
      </c>
      <c r="I20" s="23">
        <v>2001</v>
      </c>
      <c r="J20" s="23">
        <v>2001</v>
      </c>
      <c r="K20" s="23">
        <v>2002</v>
      </c>
      <c r="L20" s="23">
        <v>2003</v>
      </c>
      <c r="M20" s="23">
        <v>2004</v>
      </c>
      <c r="N20" s="23">
        <v>2005</v>
      </c>
      <c r="O20" s="23"/>
      <c r="P20" s="28">
        <v>2006</v>
      </c>
      <c r="Q20" s="28">
        <v>2007</v>
      </c>
      <c r="R20" s="28">
        <v>2008</v>
      </c>
      <c r="S20" s="28">
        <v>2009</v>
      </c>
      <c r="T20" s="28">
        <v>2010</v>
      </c>
      <c r="U20" s="28">
        <v>2011</v>
      </c>
      <c r="V20" s="28">
        <v>2012</v>
      </c>
      <c r="W20" s="28">
        <v>2013</v>
      </c>
      <c r="X20" s="26">
        <v>2014</v>
      </c>
      <c r="Y20" s="26">
        <v>2015</v>
      </c>
      <c r="Z20" s="26">
        <v>2016</v>
      </c>
      <c r="AA20" s="26">
        <v>2017</v>
      </c>
      <c r="AB20" s="26">
        <v>2018</v>
      </c>
    </row>
    <row r="21" spans="1:28" ht="15" customHeight="1" x14ac:dyDescent="0.2">
      <c r="A21" s="27"/>
      <c r="B21" s="27"/>
      <c r="C21" s="25" t="s">
        <v>3</v>
      </c>
      <c r="D21" s="25" t="s">
        <v>4</v>
      </c>
      <c r="E21" s="25" t="s">
        <v>3</v>
      </c>
      <c r="F21" s="25" t="s">
        <v>4</v>
      </c>
      <c r="G21" s="25" t="s">
        <v>3</v>
      </c>
      <c r="H21" s="25" t="s">
        <v>4</v>
      </c>
      <c r="I21" s="25" t="s">
        <v>3</v>
      </c>
      <c r="J21" s="25" t="s">
        <v>4</v>
      </c>
      <c r="K21" s="25" t="s">
        <v>4</v>
      </c>
      <c r="L21" s="25" t="s">
        <v>4</v>
      </c>
      <c r="M21" s="25" t="s">
        <v>4</v>
      </c>
      <c r="N21" s="25" t="s">
        <v>4</v>
      </c>
      <c r="O21" s="25"/>
      <c r="P21" s="26" t="s">
        <v>4</v>
      </c>
      <c r="Q21" s="26" t="s">
        <v>4</v>
      </c>
      <c r="R21" s="26" t="s">
        <v>4</v>
      </c>
      <c r="S21" s="26" t="s">
        <v>4</v>
      </c>
      <c r="T21" s="26" t="s">
        <v>4</v>
      </c>
      <c r="U21" s="26" t="s">
        <v>4</v>
      </c>
      <c r="V21" s="26" t="s">
        <v>4</v>
      </c>
      <c r="W21" s="26" t="s">
        <v>4</v>
      </c>
      <c r="X21" s="26" t="s">
        <v>4</v>
      </c>
      <c r="Y21" s="26" t="s">
        <v>4</v>
      </c>
      <c r="Z21" s="26" t="s">
        <v>4</v>
      </c>
      <c r="AA21" s="26" t="s">
        <v>4</v>
      </c>
      <c r="AB21" s="26" t="s">
        <v>4</v>
      </c>
    </row>
    <row r="22" spans="1:28" ht="15" customHeight="1" x14ac:dyDescent="0.2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8"/>
      <c r="Q22" s="8"/>
      <c r="R22" s="8"/>
      <c r="S22" s="6"/>
    </row>
    <row r="23" spans="1:28" ht="15" customHeight="1" x14ac:dyDescent="0.2">
      <c r="A23" s="9" t="s">
        <v>16</v>
      </c>
      <c r="B23" s="9">
        <v>14353</v>
      </c>
      <c r="C23" s="9">
        <v>15117</v>
      </c>
      <c r="D23" s="11">
        <v>90.854999819696374</v>
      </c>
      <c r="E23" s="9">
        <v>15952</v>
      </c>
      <c r="F23" s="11">
        <v>95.873450891300948</v>
      </c>
      <c r="G23" s="9">
        <v>16958</v>
      </c>
      <c r="H23" s="11">
        <v>101.91963266140181</v>
      </c>
      <c r="I23" s="10">
        <v>17718</v>
      </c>
      <c r="J23" s="11">
        <v>106.49</v>
      </c>
      <c r="K23" s="11">
        <v>116.17</v>
      </c>
      <c r="L23" s="11">
        <v>124.94</v>
      </c>
      <c r="M23" s="11">
        <v>136.33000000000001</v>
      </c>
      <c r="N23" s="11">
        <v>151.203</v>
      </c>
      <c r="O23" s="11"/>
      <c r="P23" s="12">
        <v>168.45500000000001</v>
      </c>
      <c r="Q23" s="12">
        <v>187.476</v>
      </c>
      <c r="R23" s="12">
        <v>202.96600000000001</v>
      </c>
      <c r="S23" s="11">
        <v>217.25</v>
      </c>
      <c r="T23" s="11">
        <v>215.80500000000001</v>
      </c>
      <c r="U23" s="11">
        <v>213.84</v>
      </c>
      <c r="V23" s="11">
        <v>198.084</v>
      </c>
      <c r="W23" s="11">
        <v>196.03200000000001</v>
      </c>
      <c r="X23" s="11">
        <v>194.46</v>
      </c>
      <c r="Y23" s="11">
        <v>207.815</v>
      </c>
      <c r="Z23" s="11">
        <f>214306409/1000000</f>
        <v>214.306409</v>
      </c>
      <c r="AA23" s="11">
        <f>215724809/1000000</f>
        <v>215.72480899999999</v>
      </c>
      <c r="AB23" s="11">
        <f>216649620.62/1000000</f>
        <v>216.64962062000001</v>
      </c>
    </row>
    <row r="24" spans="1:28" ht="15" customHeight="1" x14ac:dyDescent="0.2">
      <c r="A24" s="9" t="s">
        <v>17</v>
      </c>
      <c r="B24" s="9">
        <v>4798</v>
      </c>
      <c r="C24" s="9">
        <v>5347</v>
      </c>
      <c r="D24" s="11">
        <v>32.136117221400838</v>
      </c>
      <c r="E24" s="13">
        <v>5485</v>
      </c>
      <c r="F24" s="11">
        <v>32.965513925450459</v>
      </c>
      <c r="G24" s="9">
        <v>5573</v>
      </c>
      <c r="H24" s="11">
        <v>33.494404577308188</v>
      </c>
      <c r="I24" s="10">
        <v>5968</v>
      </c>
      <c r="J24" s="11">
        <v>35.869999999999997</v>
      </c>
      <c r="K24" s="11">
        <v>44.21</v>
      </c>
      <c r="L24" s="11">
        <v>46.58</v>
      </c>
      <c r="M24" s="11">
        <v>51.36</v>
      </c>
      <c r="N24" s="11">
        <v>54.959000000000003</v>
      </c>
      <c r="O24" s="11"/>
      <c r="P24" s="12">
        <v>55.209600000000002</v>
      </c>
      <c r="Q24" s="14">
        <v>64.555499999999995</v>
      </c>
      <c r="R24" s="14">
        <v>74.0291</v>
      </c>
      <c r="S24" s="11">
        <v>78.584000000000003</v>
      </c>
      <c r="T24" s="11">
        <f>90.754</f>
        <v>90.754000000000005</v>
      </c>
      <c r="U24" s="11">
        <f>80.042</f>
        <v>80.042000000000002</v>
      </c>
      <c r="V24" s="11">
        <v>115.836</v>
      </c>
      <c r="W24" s="11">
        <f>106.06</f>
        <v>106.06</v>
      </c>
      <c r="X24" s="11">
        <v>107.15</v>
      </c>
      <c r="Y24" s="11">
        <v>102.254</v>
      </c>
      <c r="Z24" s="11">
        <f>101808105/1000000</f>
        <v>101.808105</v>
      </c>
      <c r="AA24" s="11">
        <f>98251597/1000000</f>
        <v>98.251597000000004</v>
      </c>
      <c r="AB24" s="11">
        <f>(48894267+51837901.95)/1000000</f>
        <v>100.73216895</v>
      </c>
    </row>
    <row r="25" spans="1:28" ht="15" customHeight="1" x14ac:dyDescent="0.2">
      <c r="A25" s="9" t="s">
        <v>18</v>
      </c>
      <c r="B25" s="9">
        <v>650</v>
      </c>
      <c r="C25" s="9">
        <v>582</v>
      </c>
      <c r="D25" s="11">
        <v>3.4978904475136132</v>
      </c>
      <c r="E25" s="9">
        <v>477</v>
      </c>
      <c r="F25" s="11">
        <v>2.8668277379106417</v>
      </c>
      <c r="G25" s="9">
        <v>628</v>
      </c>
      <c r="H25" s="11">
        <v>3.7743560155301528</v>
      </c>
      <c r="I25" s="10">
        <v>722</v>
      </c>
      <c r="J25" s="11">
        <v>4.34</v>
      </c>
      <c r="K25" s="11">
        <v>4.18</v>
      </c>
      <c r="L25" s="11">
        <v>3.8180000000000001</v>
      </c>
      <c r="M25" s="11">
        <v>4.68</v>
      </c>
      <c r="N25" s="11">
        <v>0.45700000000000002</v>
      </c>
      <c r="O25" s="11"/>
      <c r="P25" s="12">
        <v>0.495</v>
      </c>
      <c r="Q25" s="12">
        <v>0.93200000000000005</v>
      </c>
      <c r="R25" s="12">
        <v>0.88500000000000001</v>
      </c>
      <c r="S25" s="11">
        <v>0.65600000000000003</v>
      </c>
      <c r="T25" s="11">
        <v>0.71399999999999997</v>
      </c>
      <c r="U25" s="11">
        <v>1.0569999999999999</v>
      </c>
      <c r="V25" s="11">
        <v>1.3</v>
      </c>
      <c r="W25" s="11">
        <v>1.8029999999999999</v>
      </c>
      <c r="X25" s="11">
        <v>3.18</v>
      </c>
      <c r="Y25" s="11">
        <v>0.79600000000000004</v>
      </c>
      <c r="Z25" s="11">
        <f>758050/1000000</f>
        <v>0.75805</v>
      </c>
      <c r="AA25" s="11">
        <f>556486/1000000</f>
        <v>0.55648600000000004</v>
      </c>
      <c r="AB25" s="11">
        <f>784602.26/1000000</f>
        <v>0.78460226</v>
      </c>
    </row>
    <row r="26" spans="1:28" ht="15" customHeight="1" x14ac:dyDescent="0.2">
      <c r="A26" s="9" t="s">
        <v>6</v>
      </c>
      <c r="B26" s="9">
        <v>372</v>
      </c>
      <c r="C26" s="9">
        <v>340</v>
      </c>
      <c r="D26" s="11">
        <v>2.0434411549048597</v>
      </c>
      <c r="E26" s="9">
        <v>437</v>
      </c>
      <c r="F26" s="11">
        <v>2.6264228961571288</v>
      </c>
      <c r="G26" s="9">
        <v>732</v>
      </c>
      <c r="H26" s="11">
        <v>4.3994086040892864</v>
      </c>
      <c r="I26" s="10">
        <v>774</v>
      </c>
      <c r="J26" s="11">
        <v>4.6500000000000004</v>
      </c>
      <c r="K26" s="11">
        <v>4.95</v>
      </c>
      <c r="L26" s="11">
        <v>5.5540000000000003</v>
      </c>
      <c r="M26" s="11">
        <v>7.23</v>
      </c>
      <c r="N26" s="11">
        <v>7.6779999999999999</v>
      </c>
      <c r="O26" s="11"/>
      <c r="P26" s="12">
        <v>8.6999999999999993</v>
      </c>
      <c r="Q26" s="12">
        <v>11.907</v>
      </c>
      <c r="R26" s="12">
        <v>15.449</v>
      </c>
      <c r="S26" s="11">
        <v>13.587</v>
      </c>
      <c r="T26" s="11">
        <v>14.209</v>
      </c>
      <c r="U26" s="11">
        <v>12.974</v>
      </c>
      <c r="V26" s="11">
        <v>16.600000000000001</v>
      </c>
      <c r="W26" s="11">
        <v>19.73</v>
      </c>
      <c r="X26" s="11">
        <v>19.66</v>
      </c>
      <c r="Y26" s="11">
        <v>16.184000000000001</v>
      </c>
      <c r="Z26" s="11">
        <f>16670699/1000000</f>
        <v>16.670698999999999</v>
      </c>
      <c r="AA26" s="11">
        <f>16449675/1000000</f>
        <v>16.449674999999999</v>
      </c>
      <c r="AB26" s="11">
        <f>16468883.24/1000000</f>
        <v>16.46888324</v>
      </c>
    </row>
    <row r="27" spans="1:28" ht="15" customHeight="1" x14ac:dyDescent="0.2">
      <c r="A27" s="9" t="s">
        <v>19</v>
      </c>
      <c r="B27" s="9">
        <v>7611</v>
      </c>
      <c r="C27" s="9">
        <v>7701</v>
      </c>
      <c r="D27" s="11">
        <v>46.283942158595075</v>
      </c>
      <c r="E27" s="9">
        <v>8545</v>
      </c>
      <c r="F27" s="11">
        <v>51.356484319594195</v>
      </c>
      <c r="G27" s="9">
        <v>12527</v>
      </c>
      <c r="H27" s="11">
        <v>75.288786316156404</v>
      </c>
      <c r="I27" s="10">
        <v>13589</v>
      </c>
      <c r="J27" s="11">
        <v>81.67</v>
      </c>
      <c r="K27" s="11">
        <v>82.49</v>
      </c>
      <c r="L27" s="11">
        <v>80.69</v>
      </c>
      <c r="M27" s="11">
        <v>84.78</v>
      </c>
      <c r="N27" s="11">
        <v>94.215999999999994</v>
      </c>
      <c r="O27" s="11"/>
      <c r="P27" s="12">
        <v>87.174999999999997</v>
      </c>
      <c r="Q27" s="12">
        <v>87.572999999999993</v>
      </c>
      <c r="R27" s="12">
        <v>93.844999999999999</v>
      </c>
      <c r="S27" s="11">
        <v>104.649</v>
      </c>
      <c r="T27" s="11">
        <v>120.25</v>
      </c>
      <c r="U27" s="11">
        <v>111.82599999999999</v>
      </c>
      <c r="V27" s="11">
        <v>95.227999999999994</v>
      </c>
      <c r="W27" s="11">
        <v>78.98</v>
      </c>
      <c r="X27" s="11">
        <v>65.81</v>
      </c>
      <c r="Y27" s="11">
        <v>66.941999999999993</v>
      </c>
      <c r="Z27" s="11">
        <f>60373181/1000000</f>
        <v>60.373181000000002</v>
      </c>
      <c r="AA27" s="11">
        <f>65020245/1000000</f>
        <v>65.020245000000003</v>
      </c>
      <c r="AB27" s="11">
        <f>63379962.61/1000000</f>
        <v>63.37996261</v>
      </c>
    </row>
    <row r="28" spans="1:28" ht="15" customHeight="1" x14ac:dyDescent="0.2">
      <c r="A28" s="9" t="s">
        <v>20</v>
      </c>
      <c r="B28" s="9">
        <v>56</v>
      </c>
      <c r="C28" s="9">
        <v>107</v>
      </c>
      <c r="D28" s="11">
        <v>0.64308295169064711</v>
      </c>
      <c r="E28" s="9">
        <v>42</v>
      </c>
      <c r="F28" s="11">
        <v>0.25242508384118856</v>
      </c>
      <c r="G28" s="9">
        <v>335</v>
      </c>
      <c r="H28" s="11">
        <v>2.0133905496856705</v>
      </c>
      <c r="I28" s="10">
        <v>238</v>
      </c>
      <c r="J28" s="11">
        <v>1.43</v>
      </c>
      <c r="K28" s="11">
        <v>0.45</v>
      </c>
      <c r="L28" s="11">
        <v>0.75</v>
      </c>
      <c r="M28" s="11">
        <v>1.49</v>
      </c>
      <c r="N28" s="11">
        <v>1.0580000000000001</v>
      </c>
      <c r="O28" s="11"/>
      <c r="P28" s="12">
        <v>1.365</v>
      </c>
      <c r="Q28" s="12">
        <v>0.67400000000000004</v>
      </c>
      <c r="R28" s="12">
        <v>0.71799999999999997</v>
      </c>
      <c r="S28" s="11">
        <v>0.34300000000000003</v>
      </c>
      <c r="T28" s="11">
        <v>0.434</v>
      </c>
      <c r="U28" s="11">
        <v>0.1638</v>
      </c>
      <c r="V28" s="11">
        <v>0.3</v>
      </c>
      <c r="W28" s="11">
        <v>0.08</v>
      </c>
      <c r="X28" s="11">
        <v>0.14000000000000001</v>
      </c>
      <c r="Y28" s="11">
        <v>0.14000000000000001</v>
      </c>
      <c r="Z28" s="11">
        <f>1241740/1000000</f>
        <v>1.2417400000000001</v>
      </c>
      <c r="AA28" s="11">
        <f>51006/1000000</f>
        <v>5.1006000000000003E-2</v>
      </c>
      <c r="AB28" s="11">
        <f>48232.27/1000000</f>
        <v>4.8232269999999994E-2</v>
      </c>
    </row>
    <row r="29" spans="1:28" ht="15" customHeight="1" x14ac:dyDescent="0.2">
      <c r="A29" s="9" t="s">
        <v>21</v>
      </c>
      <c r="B29" s="9">
        <v>24</v>
      </c>
      <c r="C29" s="9">
        <v>133</v>
      </c>
      <c r="D29" s="11">
        <v>0.79934609883043051</v>
      </c>
      <c r="E29" s="9">
        <v>73</v>
      </c>
      <c r="F29" s="11">
        <v>0.43873883620016108</v>
      </c>
      <c r="G29" s="9">
        <v>80</v>
      </c>
      <c r="H29" s="11">
        <v>0.48080968350702585</v>
      </c>
      <c r="I29" s="10">
        <v>1576</v>
      </c>
      <c r="J29" s="11">
        <v>9.4700000000000006</v>
      </c>
      <c r="K29" s="11">
        <v>0.48</v>
      </c>
      <c r="L29" s="11">
        <v>0.71</v>
      </c>
      <c r="M29" s="11">
        <v>0.36</v>
      </c>
      <c r="N29" s="11">
        <v>7.0000000000000007E-2</v>
      </c>
      <c r="O29" s="11"/>
      <c r="P29" s="12">
        <v>2.9899999999999999E-2</v>
      </c>
      <c r="Q29" s="12">
        <v>2.5000000000000001E-2</v>
      </c>
      <c r="R29" s="12">
        <v>3.1800000000000002E-2</v>
      </c>
      <c r="S29" s="11"/>
      <c r="T29" s="11">
        <v>7.5999999999999998E-2</v>
      </c>
      <c r="U29" s="11">
        <v>2.9999999999999997E-4</v>
      </c>
      <c r="V29" s="11">
        <v>2.9999999999999997E-4</v>
      </c>
      <c r="W29" s="11">
        <v>0</v>
      </c>
      <c r="X29" s="11">
        <v>0</v>
      </c>
      <c r="Y29" s="11">
        <v>1E-3</v>
      </c>
      <c r="Z29" s="11">
        <f>31125/1000000</f>
        <v>3.1125E-2</v>
      </c>
      <c r="AA29" s="15">
        <f>1125/1000000</f>
        <v>1.1249999999999999E-3</v>
      </c>
      <c r="AB29" s="15">
        <v>0</v>
      </c>
    </row>
    <row r="30" spans="1:28" ht="15" customHeight="1" x14ac:dyDescent="0.2">
      <c r="A30" s="9" t="s">
        <v>12</v>
      </c>
      <c r="B30" s="9">
        <v>5164</v>
      </c>
      <c r="C30" s="9">
        <v>750</v>
      </c>
      <c r="D30" s="11">
        <v>4.507590782878367</v>
      </c>
      <c r="E30" s="9">
        <v>11330</v>
      </c>
      <c r="F30" s="11">
        <v>68.094671426682538</v>
      </c>
      <c r="G30" s="9">
        <v>12</v>
      </c>
      <c r="H30" s="11">
        <v>7.212145252605387E-2</v>
      </c>
      <c r="I30" s="10">
        <v>10</v>
      </c>
      <c r="J30" s="11">
        <v>0.06</v>
      </c>
      <c r="K30" s="11">
        <v>1.52</v>
      </c>
      <c r="L30" s="11">
        <v>3.15</v>
      </c>
      <c r="M30" s="11">
        <v>111.78</v>
      </c>
      <c r="N30" s="11">
        <v>11.734</v>
      </c>
      <c r="O30" s="11"/>
      <c r="P30" s="12">
        <v>1.3875</v>
      </c>
      <c r="Q30" s="12">
        <v>9.4190000000000005</v>
      </c>
      <c r="R30" s="12">
        <v>2.8660000000000001</v>
      </c>
      <c r="S30" s="11">
        <v>4.0549999999999997</v>
      </c>
      <c r="T30" s="11">
        <v>6.8129999999999997</v>
      </c>
      <c r="U30" s="11">
        <v>6.7169999999999996</v>
      </c>
      <c r="V30" s="11">
        <v>3.04</v>
      </c>
      <c r="W30" s="11">
        <v>3.04</v>
      </c>
      <c r="X30" s="11">
        <v>3.03</v>
      </c>
      <c r="Y30" s="11">
        <v>6.6079999999999997</v>
      </c>
      <c r="Z30" s="11">
        <f>2955419/1000000</f>
        <v>2.955419</v>
      </c>
      <c r="AA30" s="11">
        <f>2266567/1000000</f>
        <v>2.2665670000000002</v>
      </c>
      <c r="AB30" s="11">
        <f>2567854.38/1000000</f>
        <v>2.56785438</v>
      </c>
    </row>
    <row r="31" spans="1:28" ht="15" customHeight="1" x14ac:dyDescent="0.2">
      <c r="A31" s="9" t="s">
        <v>22</v>
      </c>
      <c r="D31" s="11"/>
      <c r="F31" s="11"/>
      <c r="H31" s="11"/>
      <c r="I31" s="10"/>
      <c r="J31" s="11"/>
      <c r="K31" s="11"/>
      <c r="L31" s="11"/>
      <c r="M31" s="11"/>
      <c r="N31" s="11"/>
      <c r="O31" s="11"/>
      <c r="P31" s="12"/>
      <c r="Q31" s="12"/>
      <c r="R31" s="12"/>
      <c r="S31" s="11"/>
      <c r="T31" s="11"/>
      <c r="U31" s="11"/>
      <c r="V31" s="11">
        <v>-0.25</v>
      </c>
      <c r="W31" s="11">
        <v>-0.64600000000000002</v>
      </c>
      <c r="X31" s="11">
        <v>-1.2150000000000001</v>
      </c>
      <c r="Y31" s="11">
        <v>-0.05</v>
      </c>
      <c r="Z31" s="12">
        <v>-0.03</v>
      </c>
      <c r="AA31" s="12">
        <v>0</v>
      </c>
      <c r="AB31" s="12">
        <f>-AB34</f>
        <v>3.2602343399999998</v>
      </c>
    </row>
    <row r="32" spans="1:28" ht="15" customHeight="1" x14ac:dyDescent="0.2">
      <c r="A32" s="5" t="s">
        <v>14</v>
      </c>
      <c r="B32" s="6">
        <v>33028</v>
      </c>
      <c r="C32" s="6">
        <v>30077</v>
      </c>
      <c r="D32" s="4">
        <v>180.7664106355102</v>
      </c>
      <c r="E32" s="6">
        <v>42341</v>
      </c>
      <c r="F32" s="4">
        <v>254.47453511713726</v>
      </c>
      <c r="G32" s="6">
        <v>36845</v>
      </c>
      <c r="H32" s="4">
        <v>221.44290986020459</v>
      </c>
      <c r="I32" s="6">
        <v>40595</v>
      </c>
      <c r="J32" s="4">
        <v>243.98086377459643</v>
      </c>
      <c r="K32" s="4">
        <v>254.45</v>
      </c>
      <c r="L32" s="4">
        <v>266.20699999999994</v>
      </c>
      <c r="M32" s="4">
        <v>398.18</v>
      </c>
      <c r="N32" s="4">
        <v>321.375</v>
      </c>
      <c r="O32" s="4"/>
      <c r="P32" s="7">
        <f t="shared" ref="P32:U32" si="1">SUM(P23:P30)</f>
        <v>322.81700000000001</v>
      </c>
      <c r="Q32" s="7">
        <f t="shared" si="1"/>
        <v>362.56149999999991</v>
      </c>
      <c r="R32" s="7">
        <f t="shared" si="1"/>
        <v>390.78989999999993</v>
      </c>
      <c r="S32" s="7">
        <f t="shared" si="1"/>
        <v>419.12400000000002</v>
      </c>
      <c r="T32" s="7">
        <f t="shared" si="1"/>
        <v>449.05500000000006</v>
      </c>
      <c r="U32" s="7">
        <f t="shared" si="1"/>
        <v>426.62009999999998</v>
      </c>
      <c r="V32" s="7">
        <f t="shared" ref="V32:AB32" si="2">SUM(V23:V31)</f>
        <v>430.13830000000007</v>
      </c>
      <c r="W32" s="7">
        <f t="shared" si="2"/>
        <v>405.07900000000001</v>
      </c>
      <c r="X32" s="7">
        <f t="shared" si="2"/>
        <v>392.21500000000003</v>
      </c>
      <c r="Y32" s="7">
        <f t="shared" si="2"/>
        <v>400.69</v>
      </c>
      <c r="Z32" s="7">
        <f t="shared" si="2"/>
        <v>398.11472800000001</v>
      </c>
      <c r="AA32" s="7">
        <f t="shared" si="2"/>
        <v>398.32150999999999</v>
      </c>
      <c r="AB32" s="7">
        <f t="shared" si="2"/>
        <v>403.89155867000011</v>
      </c>
    </row>
    <row r="33" spans="1:28" ht="15" customHeight="1" x14ac:dyDescent="0.2">
      <c r="W33" s="16"/>
      <c r="X33" s="17"/>
      <c r="Y33" s="17"/>
      <c r="Z33" s="17"/>
      <c r="AA33" s="17"/>
      <c r="AB33" s="17"/>
    </row>
    <row r="34" spans="1:28" s="1" customFormat="1" ht="15" customHeight="1" x14ac:dyDescent="0.2">
      <c r="A34" s="5" t="s">
        <v>23</v>
      </c>
      <c r="B34" s="6"/>
      <c r="C34" s="6"/>
      <c r="D34" s="4"/>
      <c r="E34" s="6"/>
      <c r="F34" s="4"/>
      <c r="G34" s="6"/>
      <c r="H34" s="4"/>
      <c r="I34" s="8"/>
      <c r="J34" s="4"/>
      <c r="K34" s="4"/>
      <c r="L34" s="4"/>
      <c r="M34" s="4"/>
      <c r="N34" s="4"/>
      <c r="O34" s="4"/>
      <c r="P34" s="7">
        <v>-6.51</v>
      </c>
      <c r="Q34" s="7">
        <v>-3.9395999999999276</v>
      </c>
      <c r="R34" s="7">
        <v>-8.359800000000007</v>
      </c>
      <c r="S34" s="7">
        <v>-2.8231000000000677</v>
      </c>
      <c r="T34" s="7">
        <v>-8.7031000000000631</v>
      </c>
      <c r="U34" s="7">
        <v>-19.254099999999823</v>
      </c>
      <c r="V34" s="7">
        <f>+V18-V32</f>
        <v>0.24869999999998527</v>
      </c>
      <c r="W34" s="7">
        <f>+W18-W32</f>
        <v>0.64859499999994341</v>
      </c>
      <c r="X34" s="7">
        <f>+X18-X32</f>
        <v>1.22099999999989</v>
      </c>
      <c r="Y34" s="7">
        <f>+Y18-Y32</f>
        <v>5.3000000000054115E-2</v>
      </c>
      <c r="Z34" s="7">
        <v>0.03</v>
      </c>
      <c r="AA34" s="7">
        <v>0</v>
      </c>
      <c r="AB34" s="7">
        <f>-3260234.34/1000000</f>
        <v>-3.2602343399999998</v>
      </c>
    </row>
    <row r="35" spans="1:28" ht="15" customHeight="1" x14ac:dyDescent="0.2">
      <c r="A35" s="5" t="s">
        <v>24</v>
      </c>
      <c r="B35" s="6"/>
      <c r="C35" s="6"/>
      <c r="D35" s="4"/>
      <c r="E35" s="6"/>
      <c r="F35" s="4"/>
      <c r="G35" s="6"/>
      <c r="H35" s="4"/>
      <c r="I35" s="8"/>
      <c r="J35" s="4"/>
      <c r="K35" s="4"/>
      <c r="L35" s="4"/>
      <c r="M35" s="4"/>
      <c r="N35" s="4"/>
      <c r="O35" s="4"/>
      <c r="P35" s="7">
        <v>-22.315400000000011</v>
      </c>
      <c r="Q35" s="7">
        <v>-26.254999999999939</v>
      </c>
      <c r="R35" s="7">
        <v>-34.614799999999946</v>
      </c>
      <c r="S35" s="7">
        <v>-37.437900000000013</v>
      </c>
      <c r="T35" s="7">
        <v>-46.141000000000076</v>
      </c>
      <c r="U35" s="7">
        <v>-65.3950999999999</v>
      </c>
      <c r="V35" s="7">
        <v>-65.1450999999999</v>
      </c>
      <c r="W35" s="7">
        <v>-64.499099999999899</v>
      </c>
      <c r="X35" s="7">
        <f>+W35+X34</f>
        <v>-63.278100000000009</v>
      </c>
      <c r="Y35" s="7">
        <f>+X35+Y34</f>
        <v>-63.225099999999955</v>
      </c>
      <c r="Z35" s="7">
        <f>+Y35+Z34</f>
        <v>-63.195099999999954</v>
      </c>
      <c r="AA35" s="7">
        <f>+Z35+AA34</f>
        <v>-63.195099999999954</v>
      </c>
      <c r="AB35" s="7">
        <f>+AA35+AB34</f>
        <v>-66.455334339999951</v>
      </c>
    </row>
    <row r="36" spans="1:28" ht="15" customHeight="1" x14ac:dyDescent="0.2">
      <c r="A36" s="17"/>
      <c r="N36" s="11"/>
      <c r="O36" s="11"/>
      <c r="P36" s="12"/>
      <c r="Q36" s="12"/>
      <c r="R36" s="12"/>
      <c r="S36" s="12"/>
      <c r="T36" s="12"/>
      <c r="U36" s="12"/>
      <c r="V36" s="12"/>
      <c r="W36" s="12"/>
      <c r="X36" s="18"/>
      <c r="Y36" s="18"/>
      <c r="Z36" s="18"/>
      <c r="AA36" s="18"/>
      <c r="AB36" s="18"/>
    </row>
    <row r="37" spans="1:28" ht="15" customHeight="1" x14ac:dyDescent="0.2">
      <c r="A37" s="6"/>
    </row>
    <row r="38" spans="1:28" ht="15" customHeight="1" x14ac:dyDescent="0.2">
      <c r="A38" s="6" t="s">
        <v>25</v>
      </c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</row>
    <row r="39" spans="1:28" ht="15" customHeight="1" x14ac:dyDescent="0.2">
      <c r="P39" s="31">
        <v>1.042</v>
      </c>
      <c r="Q39" s="31">
        <f>1.042*1.014</f>
        <v>1.0565880000000001</v>
      </c>
      <c r="R39" s="31">
        <f>+Q39*1.008</f>
        <v>1.0650407040000001</v>
      </c>
      <c r="S39" s="31">
        <f>+R39*1.03</f>
        <v>1.09699192512</v>
      </c>
      <c r="T39" s="31">
        <f>+S39*1.024</f>
        <v>1.12331973132288</v>
      </c>
      <c r="U39" s="32">
        <f>+T39*1.029</f>
        <v>1.1558960035312433</v>
      </c>
      <c r="V39" s="31">
        <v>1.159</v>
      </c>
      <c r="W39" s="31">
        <v>1.147</v>
      </c>
      <c r="X39" s="31">
        <v>1.147</v>
      </c>
      <c r="Y39" s="31">
        <v>1.165</v>
      </c>
      <c r="Z39" s="31">
        <v>1.1779999999999999</v>
      </c>
      <c r="AA39" s="31">
        <v>1.1919999999999999</v>
      </c>
      <c r="AB39" s="31"/>
    </row>
    <row r="41" spans="1:28" ht="15" customHeight="1" x14ac:dyDescent="0.2">
      <c r="A41" s="23" t="s">
        <v>2</v>
      </c>
      <c r="B41" s="23">
        <v>1997</v>
      </c>
      <c r="C41" s="23">
        <v>1998</v>
      </c>
      <c r="D41" s="23">
        <v>1998</v>
      </c>
      <c r="E41" s="23">
        <v>1999</v>
      </c>
      <c r="F41" s="23">
        <v>1999</v>
      </c>
      <c r="G41" s="23">
        <v>2000</v>
      </c>
      <c r="H41" s="23">
        <v>2000</v>
      </c>
      <c r="I41" s="23">
        <v>2001</v>
      </c>
      <c r="J41" s="23">
        <v>2001</v>
      </c>
      <c r="K41" s="23">
        <v>2002</v>
      </c>
      <c r="L41" s="23">
        <v>2003</v>
      </c>
      <c r="M41" s="23">
        <v>2004</v>
      </c>
      <c r="N41" s="23">
        <v>2005</v>
      </c>
      <c r="O41" s="23"/>
      <c r="P41" s="28">
        <v>2006</v>
      </c>
      <c r="Q41" s="28">
        <v>2007</v>
      </c>
      <c r="R41" s="28">
        <v>2008</v>
      </c>
      <c r="S41" s="28">
        <v>2009</v>
      </c>
      <c r="T41" s="28">
        <v>2010</v>
      </c>
      <c r="U41" s="28">
        <v>2011</v>
      </c>
      <c r="V41" s="28">
        <v>2012</v>
      </c>
      <c r="W41" s="28">
        <v>2013</v>
      </c>
      <c r="X41" s="28">
        <v>2014</v>
      </c>
      <c r="Y41" s="28">
        <v>2015</v>
      </c>
      <c r="Z41" s="28">
        <v>2016</v>
      </c>
      <c r="AA41" s="28">
        <v>2017</v>
      </c>
      <c r="AB41" s="28">
        <v>2018</v>
      </c>
    </row>
    <row r="42" spans="1:28" ht="1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2"/>
      <c r="Q42" s="2"/>
      <c r="R42" s="2"/>
      <c r="S42" s="1"/>
    </row>
    <row r="43" spans="1:28" ht="15" customHeight="1" x14ac:dyDescent="0.2">
      <c r="A43" s="9" t="s">
        <v>5</v>
      </c>
      <c r="B43" s="9">
        <v>4913</v>
      </c>
      <c r="C43" s="9">
        <v>5301</v>
      </c>
      <c r="D43" s="11">
        <v>31.859651653384301</v>
      </c>
      <c r="E43" s="9">
        <v>5798</v>
      </c>
      <c r="F43" s="11">
        <v>34.846681812171695</v>
      </c>
      <c r="G43" s="9">
        <v>6051</v>
      </c>
      <c r="H43" s="11">
        <v>36.367242436262664</v>
      </c>
      <c r="I43" s="9">
        <v>6893</v>
      </c>
      <c r="J43" s="11">
        <v>41.43</v>
      </c>
      <c r="K43" s="11">
        <v>42.6</v>
      </c>
      <c r="L43" s="11">
        <v>42.641325536062375</v>
      </c>
      <c r="M43" s="11">
        <v>44.70964232286142</v>
      </c>
      <c r="N43" s="11">
        <v>55.136170932490465</v>
      </c>
      <c r="O43" s="11"/>
      <c r="P43" s="12">
        <f t="shared" ref="P43:P50" si="3">+P10</f>
        <v>65.980999999999995</v>
      </c>
      <c r="Q43" s="12">
        <f t="shared" ref="Q43:Q50" si="4">+Q10/1.042</f>
        <v>67.638195777351243</v>
      </c>
      <c r="R43" s="12">
        <f t="shared" ref="R43:R50" si="5">+R10/1.057</f>
        <v>69.928098391674553</v>
      </c>
      <c r="S43" s="11">
        <f t="shared" ref="S43:S50" si="6">+S10/1.066</f>
        <v>70.431519699812384</v>
      </c>
      <c r="T43" s="11">
        <f t="shared" ref="T43:T50" si="7">+T10/1.097</f>
        <v>75.205104831358256</v>
      </c>
      <c r="U43" s="11">
        <f t="shared" ref="U43:U50" si="8">+U10/1.1233</f>
        <v>79.693759458737645</v>
      </c>
      <c r="V43" s="11">
        <f t="shared" ref="V43:V50" si="9">+V10/1.155896</f>
        <v>90.907832538567476</v>
      </c>
      <c r="W43" s="11">
        <f t="shared" ref="W43:W50" si="10">+W10/$V$39</f>
        <v>87.178852459016383</v>
      </c>
      <c r="X43" s="11">
        <f t="shared" ref="X43:Y50" si="11">+X10/$W$39</f>
        <v>90.653879686137756</v>
      </c>
      <c r="Y43" s="11">
        <f t="shared" si="11"/>
        <v>92.344376634699216</v>
      </c>
      <c r="Z43" s="11">
        <f t="shared" ref="Z43:Z50" si="12">+Z10/$Y$39</f>
        <v>92.647410300429186</v>
      </c>
      <c r="AA43" s="11">
        <f t="shared" ref="AA43:AA50" si="13">+AA10/$Z$39</f>
        <v>92.273146010186764</v>
      </c>
      <c r="AB43" s="11">
        <f t="shared" ref="AB43:AB51" si="14">+AA10/$AA$39</f>
        <v>91.189401006711421</v>
      </c>
    </row>
    <row r="44" spans="1:28" ht="15" customHeight="1" x14ac:dyDescent="0.2">
      <c r="A44" s="9" t="s">
        <v>6</v>
      </c>
      <c r="B44" s="9">
        <v>14015</v>
      </c>
      <c r="C44" s="9">
        <v>14566</v>
      </c>
      <c r="D44" s="11">
        <v>87.543423124541732</v>
      </c>
      <c r="E44" s="9">
        <v>15153</v>
      </c>
      <c r="F44" s="11">
        <v>91.071364177274532</v>
      </c>
      <c r="G44" s="9">
        <v>16372</v>
      </c>
      <c r="H44" s="11">
        <v>98.397701729712836</v>
      </c>
      <c r="I44" s="9">
        <v>17006</v>
      </c>
      <c r="J44" s="11">
        <v>102.21</v>
      </c>
      <c r="K44" s="11">
        <v>109.21</v>
      </c>
      <c r="L44" s="11">
        <v>113.66471734892788</v>
      </c>
      <c r="M44" s="11">
        <v>127.38564758148601</v>
      </c>
      <c r="N44" s="11">
        <v>129.53448284982025</v>
      </c>
      <c r="O44" s="11"/>
      <c r="P44" s="12">
        <f t="shared" si="3"/>
        <v>159.833</v>
      </c>
      <c r="Q44" s="12">
        <f t="shared" si="4"/>
        <v>183.09309021113242</v>
      </c>
      <c r="R44" s="12">
        <f t="shared" si="5"/>
        <v>195.17691579943235</v>
      </c>
      <c r="S44" s="11">
        <f t="shared" si="6"/>
        <v>216.82926829268291</v>
      </c>
      <c r="T44" s="11">
        <f t="shared" si="7"/>
        <v>207.32360984503191</v>
      </c>
      <c r="U44" s="11">
        <f t="shared" si="8"/>
        <v>167.68450102376926</v>
      </c>
      <c r="V44" s="11">
        <f t="shared" si="9"/>
        <v>145.60998567345158</v>
      </c>
      <c r="W44" s="11">
        <f t="shared" si="10"/>
        <v>144.8863718723037</v>
      </c>
      <c r="X44" s="11">
        <f t="shared" si="11"/>
        <v>145.16129032258064</v>
      </c>
      <c r="Y44" s="11">
        <f t="shared" si="11"/>
        <v>153.64254577157803</v>
      </c>
      <c r="Z44" s="11">
        <f t="shared" si="12"/>
        <v>150.55760171673819</v>
      </c>
      <c r="AA44" s="11">
        <f t="shared" si="13"/>
        <v>147.23091595925297</v>
      </c>
      <c r="AB44" s="11">
        <f t="shared" si="14"/>
        <v>145.50169379194631</v>
      </c>
    </row>
    <row r="45" spans="1:28" ht="15" customHeight="1" x14ac:dyDescent="0.2">
      <c r="A45" s="9" t="s">
        <v>7</v>
      </c>
      <c r="B45" s="9">
        <v>131</v>
      </c>
      <c r="C45" s="9">
        <v>138</v>
      </c>
      <c r="D45" s="11">
        <v>0.82939670404961963</v>
      </c>
      <c r="E45" s="9">
        <v>184</v>
      </c>
      <c r="F45" s="11">
        <v>1.1058622720661595</v>
      </c>
      <c r="G45" s="9">
        <v>189</v>
      </c>
      <c r="H45" s="11">
        <v>1.1359128772853486</v>
      </c>
      <c r="I45" s="9">
        <v>243</v>
      </c>
      <c r="J45" s="11">
        <v>1.46</v>
      </c>
      <c r="K45" s="11">
        <v>1.6</v>
      </c>
      <c r="L45" s="11">
        <v>1.0721247563352827</v>
      </c>
      <c r="M45" s="11">
        <v>0.93499252005983957</v>
      </c>
      <c r="N45" s="11">
        <v>0.66848281242893959</v>
      </c>
      <c r="O45" s="11"/>
      <c r="P45" s="12">
        <f t="shared" si="3"/>
        <v>0.78</v>
      </c>
      <c r="Q45" s="12">
        <f t="shared" si="4"/>
        <v>0.96833013435700566</v>
      </c>
      <c r="R45" s="12">
        <f t="shared" si="5"/>
        <v>0.88079470198675502</v>
      </c>
      <c r="S45" s="11">
        <f t="shared" si="6"/>
        <v>0.6641651031894934</v>
      </c>
      <c r="T45" s="11">
        <f t="shared" si="7"/>
        <v>0.74840474020054693</v>
      </c>
      <c r="U45" s="11">
        <f t="shared" si="8"/>
        <v>0.70328496394551776</v>
      </c>
      <c r="V45" s="11">
        <f t="shared" si="9"/>
        <v>0.58828821970142642</v>
      </c>
      <c r="W45" s="11">
        <f t="shared" si="10"/>
        <v>0.85418464193270061</v>
      </c>
      <c r="X45" s="11">
        <f t="shared" si="11"/>
        <v>0.61900610287707059</v>
      </c>
      <c r="Y45" s="11">
        <f t="shared" si="11"/>
        <v>0.84829991281604178</v>
      </c>
      <c r="Z45" s="11">
        <f t="shared" si="12"/>
        <v>1.2363364806866952</v>
      </c>
      <c r="AA45" s="11">
        <f t="shared" si="13"/>
        <v>0.94079796264855697</v>
      </c>
      <c r="AB45" s="11">
        <f t="shared" si="14"/>
        <v>0.92974832214765102</v>
      </c>
    </row>
    <row r="46" spans="1:28" ht="15" customHeight="1" x14ac:dyDescent="0.2">
      <c r="A46" s="9" t="s">
        <v>8</v>
      </c>
      <c r="B46" s="9">
        <v>47</v>
      </c>
      <c r="C46" s="9">
        <v>0</v>
      </c>
      <c r="D46" s="11">
        <v>0</v>
      </c>
      <c r="E46" s="9">
        <v>0</v>
      </c>
      <c r="F46" s="11">
        <v>0</v>
      </c>
      <c r="G46" s="9">
        <v>0</v>
      </c>
      <c r="H46" s="11">
        <v>0</v>
      </c>
      <c r="I46" s="9">
        <v>0</v>
      </c>
      <c r="J46" s="11">
        <v>0</v>
      </c>
      <c r="K46" s="11">
        <v>0</v>
      </c>
      <c r="L46" s="11">
        <v>0</v>
      </c>
      <c r="M46" s="11">
        <v>0</v>
      </c>
      <c r="N46" s="11">
        <v>0</v>
      </c>
      <c r="O46" s="11"/>
      <c r="P46" s="12">
        <f t="shared" si="3"/>
        <v>0</v>
      </c>
      <c r="Q46" s="12">
        <f t="shared" si="4"/>
        <v>0</v>
      </c>
      <c r="R46" s="12">
        <f t="shared" si="5"/>
        <v>0</v>
      </c>
      <c r="S46" s="11">
        <f t="shared" si="6"/>
        <v>0</v>
      </c>
      <c r="T46" s="11">
        <f t="shared" si="7"/>
        <v>0</v>
      </c>
      <c r="U46" s="11">
        <f t="shared" si="8"/>
        <v>0</v>
      </c>
      <c r="V46" s="11">
        <f t="shared" si="9"/>
        <v>0</v>
      </c>
      <c r="W46" s="11">
        <f t="shared" si="10"/>
        <v>0</v>
      </c>
      <c r="X46" s="11">
        <f t="shared" si="11"/>
        <v>2.275501307759372</v>
      </c>
      <c r="Y46" s="11">
        <f t="shared" si="11"/>
        <v>3.4873583260680036E-3</v>
      </c>
      <c r="Z46" s="11">
        <f t="shared" si="12"/>
        <v>0</v>
      </c>
      <c r="AA46" s="11">
        <f t="shared" si="13"/>
        <v>0</v>
      </c>
      <c r="AB46" s="11">
        <f t="shared" si="14"/>
        <v>0</v>
      </c>
    </row>
    <row r="47" spans="1:28" ht="15" customHeight="1" x14ac:dyDescent="0.2">
      <c r="A47" s="9" t="s">
        <v>9</v>
      </c>
      <c r="B47" s="9">
        <v>2844</v>
      </c>
      <c r="C47" s="9">
        <v>3252</v>
      </c>
      <c r="D47" s="11">
        <v>19.544913634560601</v>
      </c>
      <c r="E47" s="9">
        <v>3982</v>
      </c>
      <c r="F47" s="11">
        <v>23.932301996562213</v>
      </c>
      <c r="G47" s="9">
        <v>3597.5</v>
      </c>
      <c r="H47" s="11">
        <v>21.621410455206568</v>
      </c>
      <c r="I47" s="9">
        <v>4537</v>
      </c>
      <c r="J47" s="11">
        <v>27.27</v>
      </c>
      <c r="K47" s="11">
        <v>38.28</v>
      </c>
      <c r="L47" s="11">
        <v>33.98635477582846</v>
      </c>
      <c r="M47" s="11">
        <v>40.941339135953584</v>
      </c>
      <c r="N47" s="11">
        <v>41.815694618341055</v>
      </c>
      <c r="O47" s="11"/>
      <c r="P47" s="12">
        <f t="shared" si="3"/>
        <v>44.262999999999998</v>
      </c>
      <c r="Q47" s="12">
        <f t="shared" si="4"/>
        <v>40.95969289827255</v>
      </c>
      <c r="R47" s="12">
        <f t="shared" si="5"/>
        <v>46.36423841059603</v>
      </c>
      <c r="S47" s="11">
        <f t="shared" si="6"/>
        <v>53.151969981238267</v>
      </c>
      <c r="T47" s="11">
        <f t="shared" si="7"/>
        <v>49.807657247037376</v>
      </c>
      <c r="U47" s="11">
        <f t="shared" si="8"/>
        <v>34.140478945962791</v>
      </c>
      <c r="V47" s="11">
        <f t="shared" si="9"/>
        <v>20.693903257732529</v>
      </c>
      <c r="W47" s="11">
        <f t="shared" si="10"/>
        <v>19.698015530629853</v>
      </c>
      <c r="X47" s="11">
        <f t="shared" si="11"/>
        <v>21.490845684394071</v>
      </c>
      <c r="Y47" s="11">
        <f t="shared" si="11"/>
        <v>20.649520488230163</v>
      </c>
      <c r="Z47" s="11">
        <f t="shared" si="12"/>
        <v>21.257404291845493</v>
      </c>
      <c r="AA47" s="11">
        <f t="shared" si="13"/>
        <v>22.446648556876063</v>
      </c>
      <c r="AB47" s="11">
        <f t="shared" si="14"/>
        <v>22.183013422818792</v>
      </c>
    </row>
    <row r="48" spans="1:28" ht="15" customHeight="1" x14ac:dyDescent="0.2">
      <c r="A48" s="9" t="s">
        <v>10</v>
      </c>
      <c r="B48" s="9">
        <v>3700</v>
      </c>
      <c r="C48" s="9">
        <v>4712</v>
      </c>
      <c r="D48" s="11">
        <v>28.319690358563822</v>
      </c>
      <c r="E48" s="9">
        <v>4859</v>
      </c>
      <c r="F48" s="11">
        <v>29.203178152007983</v>
      </c>
      <c r="G48" s="9">
        <v>5554</v>
      </c>
      <c r="H48" s="11">
        <v>33.380212277475266</v>
      </c>
      <c r="I48" s="9">
        <v>8502</v>
      </c>
      <c r="J48" s="11">
        <v>51.1</v>
      </c>
      <c r="K48" s="11">
        <v>55.66</v>
      </c>
      <c r="L48" s="11">
        <v>44.649122807017548</v>
      </c>
      <c r="M48" s="11">
        <v>139.79554830228025</v>
      </c>
      <c r="N48" s="11">
        <v>11.054556372292192</v>
      </c>
      <c r="O48" s="4" t="s">
        <v>11</v>
      </c>
      <c r="P48" s="12">
        <f t="shared" si="3"/>
        <v>0</v>
      </c>
      <c r="Q48" s="12">
        <f t="shared" si="4"/>
        <v>1.0201535508637236</v>
      </c>
      <c r="R48" s="12">
        <f t="shared" si="5"/>
        <v>0.50898770104068125</v>
      </c>
      <c r="S48" s="11">
        <f t="shared" si="6"/>
        <v>0.5065666041275797</v>
      </c>
      <c r="T48" s="11">
        <f t="shared" si="7"/>
        <v>0.49042844120328172</v>
      </c>
      <c r="U48" s="11">
        <f t="shared" si="8"/>
        <v>0.48962877236713259</v>
      </c>
      <c r="V48" s="11">
        <f t="shared" si="9"/>
        <v>0.4844726515188218</v>
      </c>
      <c r="W48" s="11">
        <f t="shared" si="10"/>
        <v>0.45729076790336498</v>
      </c>
      <c r="X48" s="11">
        <f t="shared" si="11"/>
        <v>0.4620749782040105</v>
      </c>
      <c r="Y48" s="11">
        <f t="shared" si="11"/>
        <v>0.92589363557105497</v>
      </c>
      <c r="Z48" s="11">
        <f t="shared" si="12"/>
        <v>0</v>
      </c>
      <c r="AA48" s="11">
        <f t="shared" si="13"/>
        <v>0</v>
      </c>
      <c r="AB48" s="11">
        <f t="shared" si="14"/>
        <v>0</v>
      </c>
    </row>
    <row r="49" spans="1:29" ht="15" customHeight="1" x14ac:dyDescent="0.2">
      <c r="A49" s="9" t="s">
        <v>12</v>
      </c>
      <c r="B49" s="9">
        <v>7378</v>
      </c>
      <c r="C49" s="9">
        <v>2108</v>
      </c>
      <c r="D49" s="11">
        <v>12.669335160410132</v>
      </c>
      <c r="E49" s="9">
        <v>12365</v>
      </c>
      <c r="F49" s="11">
        <v>74.31514670705468</v>
      </c>
      <c r="G49" s="9">
        <v>5081.5</v>
      </c>
      <c r="H49" s="11">
        <v>30.540430084261899</v>
      </c>
      <c r="I49" s="9">
        <v>3414</v>
      </c>
      <c r="J49" s="11">
        <v>20.52</v>
      </c>
      <c r="K49" s="11">
        <v>1.07</v>
      </c>
      <c r="L49" s="11">
        <v>13.138401559454191</v>
      </c>
      <c r="M49" s="11">
        <v>10.95546791181226</v>
      </c>
      <c r="N49" s="11">
        <v>7.4234378802565208</v>
      </c>
      <c r="O49" s="11"/>
      <c r="P49" s="12">
        <f t="shared" si="3"/>
        <v>10.36</v>
      </c>
      <c r="Q49" s="12">
        <f t="shared" si="4"/>
        <v>6.4481765834932823</v>
      </c>
      <c r="R49" s="12">
        <f t="shared" si="5"/>
        <v>1.4361400189214759</v>
      </c>
      <c r="S49" s="11">
        <f t="shared" si="6"/>
        <v>2.295497185741088</v>
      </c>
      <c r="T49" s="11">
        <f t="shared" si="7"/>
        <v>1.4229717411121239</v>
      </c>
      <c r="U49" s="11">
        <f t="shared" si="8"/>
        <v>0.44511706578830235</v>
      </c>
      <c r="V49" s="11">
        <f t="shared" si="9"/>
        <v>0.85647843750648844</v>
      </c>
      <c r="W49" s="11">
        <f t="shared" si="10"/>
        <v>0.68162208800690249</v>
      </c>
      <c r="X49" s="11">
        <f t="shared" si="11"/>
        <v>-3.4873583260680036E-3</v>
      </c>
      <c r="Y49" s="11">
        <f t="shared" si="11"/>
        <v>4.1961639058413249</v>
      </c>
      <c r="Z49" s="11">
        <f t="shared" si="12"/>
        <v>1.1162214592274677</v>
      </c>
      <c r="AA49" s="11">
        <f t="shared" si="13"/>
        <v>4.1625891341256365</v>
      </c>
      <c r="AB49" s="11">
        <f t="shared" si="14"/>
        <v>4.1136996644295305</v>
      </c>
    </row>
    <row r="50" spans="1:29" ht="15" customHeight="1" x14ac:dyDescent="0.2">
      <c r="A50" s="9" t="s">
        <v>13</v>
      </c>
      <c r="D50" s="11"/>
      <c r="F50" s="11"/>
      <c r="H50" s="11"/>
      <c r="J50" s="11"/>
      <c r="K50" s="11"/>
      <c r="L50" s="11"/>
      <c r="M50" s="11"/>
      <c r="N50" s="11">
        <v>32.66276237731811</v>
      </c>
      <c r="O50" s="11"/>
      <c r="P50" s="12">
        <f t="shared" si="3"/>
        <v>35.090000000000003</v>
      </c>
      <c r="Q50" s="12">
        <f t="shared" si="4"/>
        <v>44.043186180422261</v>
      </c>
      <c r="R50" s="12">
        <f t="shared" si="5"/>
        <v>47.511825922421949</v>
      </c>
      <c r="S50" s="11">
        <f t="shared" si="6"/>
        <v>46.655722326454033</v>
      </c>
      <c r="T50" s="11">
        <f t="shared" si="7"/>
        <v>66.427529626253417</v>
      </c>
      <c r="U50" s="11">
        <f t="shared" si="8"/>
        <v>79.4979079497908</v>
      </c>
      <c r="V50" s="11">
        <f t="shared" si="9"/>
        <v>113.19963041657728</v>
      </c>
      <c r="W50" s="11">
        <f t="shared" si="10"/>
        <v>96.310612597066424</v>
      </c>
      <c r="X50" s="11">
        <f t="shared" si="11"/>
        <v>82.353966870095888</v>
      </c>
      <c r="Y50" s="11">
        <f t="shared" si="11"/>
        <v>76.773321708805582</v>
      </c>
      <c r="Z50" s="11">
        <f t="shared" si="12"/>
        <v>74.940157081545067</v>
      </c>
      <c r="AA50" s="11">
        <f t="shared" si="13"/>
        <v>71.079612054329374</v>
      </c>
      <c r="AB50" s="11">
        <f t="shared" si="14"/>
        <v>70.244784395973156</v>
      </c>
    </row>
    <row r="51" spans="1:29" ht="15" customHeight="1" x14ac:dyDescent="0.2">
      <c r="A51" s="5" t="s">
        <v>14</v>
      </c>
      <c r="B51" s="6">
        <v>33028</v>
      </c>
      <c r="C51" s="6">
        <v>30077</v>
      </c>
      <c r="D51" s="4">
        <v>180.7664106355102</v>
      </c>
      <c r="E51" s="6">
        <v>42341</v>
      </c>
      <c r="F51" s="4">
        <v>254.47453511713726</v>
      </c>
      <c r="G51" s="6">
        <v>36845</v>
      </c>
      <c r="H51" s="4">
        <v>221.44290986020459</v>
      </c>
      <c r="I51" s="6">
        <v>40595</v>
      </c>
      <c r="J51" s="4">
        <v>243.98086377459643</v>
      </c>
      <c r="K51" s="4">
        <v>248.42</v>
      </c>
      <c r="L51" s="4">
        <v>249.15204678362576</v>
      </c>
      <c r="M51" s="4">
        <v>364.7226377744534</v>
      </c>
      <c r="N51" s="4">
        <v>278.29558784294755</v>
      </c>
      <c r="O51" s="4"/>
      <c r="P51" s="7">
        <f t="shared" ref="P51:W51" si="15">SUM(P43:P50)</f>
        <v>316.30700000000002</v>
      </c>
      <c r="Q51" s="7">
        <f t="shared" si="15"/>
        <v>344.17082533589252</v>
      </c>
      <c r="R51" s="7">
        <f t="shared" si="15"/>
        <v>361.8070009460738</v>
      </c>
      <c r="S51" s="7">
        <f t="shared" si="15"/>
        <v>390.53470919324576</v>
      </c>
      <c r="T51" s="7">
        <f t="shared" si="15"/>
        <v>401.42570647219691</v>
      </c>
      <c r="U51" s="7">
        <f t="shared" si="15"/>
        <v>362.65467818036143</v>
      </c>
      <c r="V51" s="7">
        <f t="shared" si="15"/>
        <v>372.34059119505565</v>
      </c>
      <c r="W51" s="7">
        <f t="shared" si="15"/>
        <v>350.06694995685933</v>
      </c>
      <c r="X51" s="7">
        <f>SUM(X43:X50)</f>
        <v>343.01307759372276</v>
      </c>
      <c r="Y51" s="7">
        <f>SUM(Y43:Y50)</f>
        <v>349.38360941586745</v>
      </c>
      <c r="Z51" s="7">
        <f>SUM(Z43:Z50)</f>
        <v>341.75513133047212</v>
      </c>
      <c r="AA51" s="7">
        <f>SUM(AA43:AA50)</f>
        <v>338.13370967741935</v>
      </c>
      <c r="AB51" s="4">
        <f t="shared" si="14"/>
        <v>334.16234060402684</v>
      </c>
    </row>
    <row r="52" spans="1:29" ht="15" customHeight="1" x14ac:dyDescent="0.2">
      <c r="A52" s="3"/>
    </row>
    <row r="53" spans="1:29" ht="15" customHeight="1" x14ac:dyDescent="0.2">
      <c r="A53" s="23" t="s">
        <v>15</v>
      </c>
      <c r="B53" s="23">
        <v>1997</v>
      </c>
      <c r="C53" s="23">
        <v>1998</v>
      </c>
      <c r="D53" s="23">
        <v>1998</v>
      </c>
      <c r="E53" s="23">
        <v>1999</v>
      </c>
      <c r="F53" s="23">
        <v>1999</v>
      </c>
      <c r="G53" s="23">
        <v>2000</v>
      </c>
      <c r="H53" s="23">
        <v>2000</v>
      </c>
      <c r="I53" s="23">
        <v>2001</v>
      </c>
      <c r="J53" s="23">
        <v>2001</v>
      </c>
      <c r="K53" s="23">
        <v>2002</v>
      </c>
      <c r="L53" s="23">
        <v>2003</v>
      </c>
      <c r="M53" s="23">
        <v>2004</v>
      </c>
      <c r="N53" s="23">
        <v>2005</v>
      </c>
      <c r="O53" s="23"/>
      <c r="P53" s="28">
        <v>2006</v>
      </c>
      <c r="Q53" s="28">
        <v>2007</v>
      </c>
      <c r="R53" s="28">
        <v>2008</v>
      </c>
      <c r="S53" s="28">
        <v>2009</v>
      </c>
      <c r="T53" s="28">
        <v>2010</v>
      </c>
      <c r="U53" s="28">
        <v>2011</v>
      </c>
      <c r="V53" s="28">
        <v>2012</v>
      </c>
      <c r="W53" s="28">
        <v>2013</v>
      </c>
      <c r="X53" s="28">
        <v>2014</v>
      </c>
      <c r="Y53" s="28">
        <v>2015</v>
      </c>
      <c r="Z53" s="28">
        <v>2016</v>
      </c>
      <c r="AA53" s="28">
        <v>2017</v>
      </c>
      <c r="AB53" s="28">
        <v>2018</v>
      </c>
    </row>
    <row r="54" spans="1:29" ht="1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2"/>
      <c r="Q54" s="2"/>
      <c r="R54" s="2"/>
      <c r="S54" s="1"/>
    </row>
    <row r="55" spans="1:29" ht="15" customHeight="1" x14ac:dyDescent="0.2">
      <c r="A55" s="9" t="s">
        <v>16</v>
      </c>
      <c r="B55" s="9">
        <v>14353</v>
      </c>
      <c r="C55" s="9">
        <v>15117</v>
      </c>
      <c r="D55" s="11">
        <v>90.854999819696374</v>
      </c>
      <c r="E55" s="9">
        <v>15952</v>
      </c>
      <c r="F55" s="11">
        <v>95.873450891300948</v>
      </c>
      <c r="G55" s="9">
        <v>16958</v>
      </c>
      <c r="H55" s="11">
        <v>101.91963266140181</v>
      </c>
      <c r="I55" s="9">
        <v>17718</v>
      </c>
      <c r="J55" s="11">
        <v>106.49</v>
      </c>
      <c r="K55" s="11">
        <v>116.17</v>
      </c>
      <c r="L55" s="11">
        <v>121.77387914230019</v>
      </c>
      <c r="M55" s="11">
        <v>128.75508107046255</v>
      </c>
      <c r="N55" s="11">
        <v>137.70654862083509</v>
      </c>
      <c r="O55" s="11"/>
      <c r="P55" s="12">
        <f t="shared" ref="P55:P62" si="16">+P23</f>
        <v>168.45500000000001</v>
      </c>
      <c r="Q55" s="12">
        <f t="shared" ref="Q55:Q62" si="17">+Q23/1.042</f>
        <v>179.9193857965451</v>
      </c>
      <c r="R55" s="12">
        <f t="shared" ref="R55:R62" si="18">+R23/1.057</f>
        <v>192.02081362346266</v>
      </c>
      <c r="S55" s="11">
        <f t="shared" ref="S55:S62" si="19">+S23/1.066</f>
        <v>203.79924953095684</v>
      </c>
      <c r="T55" s="11">
        <f t="shared" ref="T55:T62" si="20">+T23/1.097</f>
        <v>196.72288058340931</v>
      </c>
      <c r="U55" s="11">
        <f t="shared" ref="U55:U62" si="21">+U23/1.1233</f>
        <v>190.36766669634116</v>
      </c>
      <c r="V55" s="11">
        <f t="shared" ref="V55:V63" si="22">+V23/1.155896</f>
        <v>171.36835839902551</v>
      </c>
      <c r="W55" s="11">
        <f t="shared" ref="W55:Y63" si="23">+W23/$V$39</f>
        <v>169.13891285591026</v>
      </c>
      <c r="X55" s="11">
        <f t="shared" si="23"/>
        <v>167.78257118205349</v>
      </c>
      <c r="Y55" s="11">
        <f t="shared" si="23"/>
        <v>179.30543572044866</v>
      </c>
      <c r="Z55" s="11">
        <f t="shared" ref="Z55:Z63" si="24">+Z23/$Y$39</f>
        <v>183.9539991416309</v>
      </c>
      <c r="AA55" s="11">
        <f t="shared" ref="AA55:AA63" si="25">+AA23/$Z$39</f>
        <v>183.12802122241087</v>
      </c>
      <c r="AB55" s="11">
        <f t="shared" ref="AB55:AB63" si="26">+AB23/$AA$39</f>
        <v>181.75303743288592</v>
      </c>
    </row>
    <row r="56" spans="1:29" ht="15" customHeight="1" x14ac:dyDescent="0.2">
      <c r="A56" s="9" t="s">
        <v>17</v>
      </c>
      <c r="B56" s="9">
        <v>4798</v>
      </c>
      <c r="C56" s="9">
        <v>5347</v>
      </c>
      <c r="D56" s="11">
        <v>32.136117221400838</v>
      </c>
      <c r="E56" s="9">
        <v>5485</v>
      </c>
      <c r="F56" s="11">
        <v>32.965513925450459</v>
      </c>
      <c r="G56" s="9">
        <v>5573</v>
      </c>
      <c r="H56" s="11">
        <v>33.494404577308188</v>
      </c>
      <c r="I56" s="9">
        <v>5968</v>
      </c>
      <c r="J56" s="11">
        <v>35.869999999999997</v>
      </c>
      <c r="K56" s="11">
        <v>44.21</v>
      </c>
      <c r="L56" s="11">
        <v>45.399610136452239</v>
      </c>
      <c r="M56" s="11">
        <v>48.506278616437733</v>
      </c>
      <c r="N56" s="11">
        <v>50.053333635261708</v>
      </c>
      <c r="O56" s="11"/>
      <c r="P56" s="12">
        <f t="shared" si="16"/>
        <v>55.209600000000002</v>
      </c>
      <c r="Q56" s="12">
        <f t="shared" si="17"/>
        <v>61.953454894433776</v>
      </c>
      <c r="R56" s="12">
        <f t="shared" si="18"/>
        <v>70.036991485335861</v>
      </c>
      <c r="S56" s="11">
        <f t="shared" si="19"/>
        <v>73.718574108818004</v>
      </c>
      <c r="T56" s="11">
        <f t="shared" si="20"/>
        <v>82.729261622607112</v>
      </c>
      <c r="U56" s="11">
        <f t="shared" si="21"/>
        <v>71.256120359654588</v>
      </c>
      <c r="V56" s="11">
        <f t="shared" si="22"/>
        <v>100.21316796666828</v>
      </c>
      <c r="W56" s="11">
        <f t="shared" si="23"/>
        <v>91.509922346850729</v>
      </c>
      <c r="X56" s="11">
        <f t="shared" si="23"/>
        <v>92.450388265746341</v>
      </c>
      <c r="Y56" s="11">
        <f t="shared" si="23"/>
        <v>88.226056945642796</v>
      </c>
      <c r="Z56" s="11">
        <f t="shared" si="24"/>
        <v>87.388931330472104</v>
      </c>
      <c r="AA56" s="11">
        <f t="shared" si="25"/>
        <v>83.40543039049237</v>
      </c>
      <c r="AB56" s="11">
        <f t="shared" si="26"/>
        <v>84.506853145973153</v>
      </c>
    </row>
    <row r="57" spans="1:29" ht="15" customHeight="1" x14ac:dyDescent="0.2">
      <c r="A57" s="9" t="s">
        <v>18</v>
      </c>
      <c r="B57" s="9">
        <v>650</v>
      </c>
      <c r="C57" s="9">
        <v>582</v>
      </c>
      <c r="D57" s="11">
        <v>3.4978904475136132</v>
      </c>
      <c r="E57" s="9">
        <v>477</v>
      </c>
      <c r="F57" s="11">
        <v>2.8668277379106417</v>
      </c>
      <c r="G57" s="9">
        <v>628</v>
      </c>
      <c r="H57" s="11">
        <v>3.7743560155301528</v>
      </c>
      <c r="I57" s="9">
        <v>722</v>
      </c>
      <c r="J57" s="11">
        <v>4.34</v>
      </c>
      <c r="K57" s="11">
        <v>4.18</v>
      </c>
      <c r="L57" s="11">
        <v>3.7212475633528266</v>
      </c>
      <c r="M57" s="11">
        <v>4.4199646402828776</v>
      </c>
      <c r="N57" s="11">
        <v>0.41620796359676487</v>
      </c>
      <c r="O57" s="11"/>
      <c r="P57" s="12">
        <f t="shared" si="16"/>
        <v>0.495</v>
      </c>
      <c r="Q57" s="12">
        <f t="shared" si="17"/>
        <v>0.89443378119001926</v>
      </c>
      <c r="R57" s="12">
        <f t="shared" si="18"/>
        <v>0.83727530747398304</v>
      </c>
      <c r="S57" s="11">
        <f t="shared" si="19"/>
        <v>0.61538461538461542</v>
      </c>
      <c r="T57" s="11">
        <f t="shared" si="20"/>
        <v>0.65086599817684598</v>
      </c>
      <c r="U57" s="11">
        <f t="shared" si="21"/>
        <v>0.94097747707647106</v>
      </c>
      <c r="V57" s="11">
        <f t="shared" si="22"/>
        <v>1.1246686553115506</v>
      </c>
      <c r="W57" s="11">
        <f t="shared" si="23"/>
        <v>1.5556514236410699</v>
      </c>
      <c r="X57" s="11">
        <f t="shared" si="23"/>
        <v>2.7437446074201901</v>
      </c>
      <c r="Y57" s="11">
        <f t="shared" si="23"/>
        <v>0.68679896462467649</v>
      </c>
      <c r="Z57" s="11">
        <f t="shared" si="24"/>
        <v>0.65068669527896994</v>
      </c>
      <c r="AA57" s="11">
        <f t="shared" si="25"/>
        <v>0.47239898132427849</v>
      </c>
      <c r="AB57" s="11">
        <f t="shared" si="26"/>
        <v>0.65822337248322149</v>
      </c>
    </row>
    <row r="58" spans="1:29" ht="15" customHeight="1" x14ac:dyDescent="0.2">
      <c r="A58" s="9" t="s">
        <v>6</v>
      </c>
      <c r="B58" s="9">
        <v>372</v>
      </c>
      <c r="C58" s="9">
        <v>340</v>
      </c>
      <c r="D58" s="11">
        <v>2.0434411549048597</v>
      </c>
      <c r="E58" s="9">
        <v>437</v>
      </c>
      <c r="F58" s="11">
        <v>2.6264228961571288</v>
      </c>
      <c r="G58" s="9">
        <v>732</v>
      </c>
      <c r="H58" s="11">
        <v>4.3994086040892864</v>
      </c>
      <c r="I58" s="9">
        <v>774</v>
      </c>
      <c r="J58" s="11">
        <v>4.6500000000000004</v>
      </c>
      <c r="K58" s="11">
        <v>4.95</v>
      </c>
      <c r="L58" s="11">
        <v>5.4132553606237819</v>
      </c>
      <c r="M58" s="11">
        <v>6.828278707103677</v>
      </c>
      <c r="N58" s="11">
        <v>6.9926580842362371</v>
      </c>
      <c r="O58" s="11"/>
      <c r="P58" s="12">
        <f t="shared" si="16"/>
        <v>8.6999999999999993</v>
      </c>
      <c r="Q58" s="12">
        <f t="shared" si="17"/>
        <v>11.427063339731285</v>
      </c>
      <c r="R58" s="12">
        <f t="shared" si="18"/>
        <v>14.6158940397351</v>
      </c>
      <c r="S58" s="11">
        <f t="shared" si="19"/>
        <v>12.74577861163227</v>
      </c>
      <c r="T58" s="11">
        <f t="shared" si="20"/>
        <v>12.952597994530537</v>
      </c>
      <c r="U58" s="11">
        <f t="shared" si="21"/>
        <v>11.54989762307487</v>
      </c>
      <c r="V58" s="11">
        <f t="shared" si="22"/>
        <v>14.361153598593646</v>
      </c>
      <c r="W58" s="11">
        <f t="shared" si="23"/>
        <v>17.023295944779981</v>
      </c>
      <c r="X58" s="11">
        <f t="shared" si="23"/>
        <v>16.962899050905953</v>
      </c>
      <c r="Y58" s="11">
        <f t="shared" si="23"/>
        <v>13.963761863675582</v>
      </c>
      <c r="Z58" s="11">
        <f t="shared" si="24"/>
        <v>14.30961287553648</v>
      </c>
      <c r="AA58" s="11">
        <f t="shared" si="25"/>
        <v>13.964070458404075</v>
      </c>
      <c r="AB58" s="11">
        <f t="shared" si="26"/>
        <v>13.816177214765101</v>
      </c>
    </row>
    <row r="59" spans="1:29" ht="15" customHeight="1" x14ac:dyDescent="0.2">
      <c r="A59" s="9" t="s">
        <v>19</v>
      </c>
      <c r="B59" s="9">
        <v>7611</v>
      </c>
      <c r="C59" s="9">
        <v>7701</v>
      </c>
      <c r="D59" s="11">
        <v>46.283942158595075</v>
      </c>
      <c r="E59" s="9">
        <v>8545</v>
      </c>
      <c r="F59" s="11">
        <v>51.356484319594195</v>
      </c>
      <c r="G59" s="9">
        <v>12527</v>
      </c>
      <c r="H59" s="11">
        <v>75.288786316156404</v>
      </c>
      <c r="I59" s="9">
        <v>13589</v>
      </c>
      <c r="J59" s="11">
        <v>81.67</v>
      </c>
      <c r="K59" s="11">
        <v>82.49</v>
      </c>
      <c r="L59" s="11">
        <v>78.645224171539951</v>
      </c>
      <c r="M59" s="11">
        <v>80.069359445124434</v>
      </c>
      <c r="N59" s="11">
        <v>85.806235225892323</v>
      </c>
      <c r="O59" s="11"/>
      <c r="P59" s="12">
        <f t="shared" si="16"/>
        <v>87.174999999999997</v>
      </c>
      <c r="Q59" s="12">
        <f t="shared" si="17"/>
        <v>84.043186180422254</v>
      </c>
      <c r="R59" s="12">
        <f t="shared" si="18"/>
        <v>88.784295175023658</v>
      </c>
      <c r="S59" s="11">
        <f t="shared" si="19"/>
        <v>98.169793621013127</v>
      </c>
      <c r="T59" s="11">
        <f t="shared" si="20"/>
        <v>109.61713764813128</v>
      </c>
      <c r="U59" s="11">
        <f t="shared" si="21"/>
        <v>99.551321997685392</v>
      </c>
      <c r="V59" s="11">
        <f t="shared" si="22"/>
        <v>82.38457439077564</v>
      </c>
      <c r="W59" s="11">
        <f t="shared" si="23"/>
        <v>68.14495254529767</v>
      </c>
      <c r="X59" s="11">
        <f t="shared" si="23"/>
        <v>56.781708369283869</v>
      </c>
      <c r="Y59" s="11">
        <f t="shared" si="23"/>
        <v>57.758412424503874</v>
      </c>
      <c r="Z59" s="11">
        <f t="shared" si="24"/>
        <v>51.822472961373393</v>
      </c>
      <c r="AA59" s="11">
        <f t="shared" si="25"/>
        <v>55.195454159592536</v>
      </c>
      <c r="AB59" s="11">
        <f t="shared" si="26"/>
        <v>53.17110957214765</v>
      </c>
    </row>
    <row r="60" spans="1:29" ht="15" customHeight="1" x14ac:dyDescent="0.2">
      <c r="A60" s="9" t="s">
        <v>20</v>
      </c>
      <c r="B60" s="9">
        <v>56</v>
      </c>
      <c r="C60" s="9">
        <v>107</v>
      </c>
      <c r="D60" s="11">
        <v>0.64308295169064711</v>
      </c>
      <c r="E60" s="9">
        <v>42</v>
      </c>
      <c r="F60" s="11">
        <v>0.25242508384118856</v>
      </c>
      <c r="G60" s="9">
        <v>335</v>
      </c>
      <c r="H60" s="11">
        <v>2.0133905496856705</v>
      </c>
      <c r="I60" s="9">
        <v>238</v>
      </c>
      <c r="J60" s="11">
        <v>1.43</v>
      </c>
      <c r="K60" s="11">
        <v>0.45</v>
      </c>
      <c r="L60" s="11">
        <v>0.73099415204678364</v>
      </c>
      <c r="M60" s="11">
        <v>1.4072109645345059</v>
      </c>
      <c r="N60" s="11">
        <v>0.96356241900520179</v>
      </c>
      <c r="O60" s="11"/>
      <c r="P60" s="12">
        <f t="shared" si="16"/>
        <v>1.365</v>
      </c>
      <c r="Q60" s="12">
        <f t="shared" si="17"/>
        <v>0.64683301343570054</v>
      </c>
      <c r="R60" s="12">
        <f t="shared" si="18"/>
        <v>0.67928098391674552</v>
      </c>
      <c r="S60" s="11">
        <f t="shared" si="19"/>
        <v>0.32176360225140715</v>
      </c>
      <c r="T60" s="11">
        <f t="shared" si="20"/>
        <v>0.39562443026435734</v>
      </c>
      <c r="U60" s="11">
        <f t="shared" si="21"/>
        <v>0.14582035075224783</v>
      </c>
      <c r="V60" s="11">
        <f t="shared" si="22"/>
        <v>0.25953892045651167</v>
      </c>
      <c r="W60" s="11">
        <f t="shared" si="23"/>
        <v>6.9025021570319242E-2</v>
      </c>
      <c r="X60" s="11">
        <f t="shared" si="23"/>
        <v>0.12079378774805868</v>
      </c>
      <c r="Y60" s="11">
        <f t="shared" si="23"/>
        <v>0.12079378774805868</v>
      </c>
      <c r="Z60" s="11">
        <f t="shared" si="24"/>
        <v>1.0658712446351932</v>
      </c>
      <c r="AA60" s="11">
        <f t="shared" si="25"/>
        <v>4.3298811544991517E-2</v>
      </c>
      <c r="AB60" s="11">
        <f t="shared" si="26"/>
        <v>4.0463313758389255E-2</v>
      </c>
    </row>
    <row r="61" spans="1:29" ht="15" customHeight="1" x14ac:dyDescent="0.2">
      <c r="A61" s="9" t="s">
        <v>21</v>
      </c>
      <c r="B61" s="9">
        <v>24</v>
      </c>
      <c r="C61" s="9">
        <v>133</v>
      </c>
      <c r="D61" s="11">
        <v>0.79934609883043051</v>
      </c>
      <c r="E61" s="9">
        <v>73</v>
      </c>
      <c r="F61" s="11">
        <v>0.43873883620016108</v>
      </c>
      <c r="G61" s="9">
        <v>80</v>
      </c>
      <c r="H61" s="11">
        <v>0.48080968350702585</v>
      </c>
      <c r="I61" s="9">
        <v>1576</v>
      </c>
      <c r="J61" s="11">
        <v>9.4700000000000006</v>
      </c>
      <c r="K61" s="11">
        <v>0.48</v>
      </c>
      <c r="L61" s="11">
        <v>0.69200779727095507</v>
      </c>
      <c r="M61" s="11">
        <v>0.33999728002175983</v>
      </c>
      <c r="N61" s="11">
        <v>6.3751766852896158E-2</v>
      </c>
      <c r="O61" s="11"/>
      <c r="P61" s="12">
        <f t="shared" si="16"/>
        <v>2.9899999999999999E-2</v>
      </c>
      <c r="Q61" s="12">
        <f t="shared" si="17"/>
        <v>2.3992322456813819E-2</v>
      </c>
      <c r="R61" s="12">
        <f t="shared" si="18"/>
        <v>3.0085146641438035E-2</v>
      </c>
      <c r="S61" s="11">
        <f t="shared" si="19"/>
        <v>0</v>
      </c>
      <c r="T61" s="11">
        <f t="shared" si="20"/>
        <v>6.9279854147675485E-2</v>
      </c>
      <c r="U61" s="11">
        <f t="shared" si="21"/>
        <v>2.6707023947298138E-4</v>
      </c>
      <c r="V61" s="11">
        <f t="shared" si="22"/>
        <v>2.5953892045651165E-4</v>
      </c>
      <c r="W61" s="11">
        <f t="shared" si="23"/>
        <v>0</v>
      </c>
      <c r="X61" s="11">
        <f t="shared" si="23"/>
        <v>0</v>
      </c>
      <c r="Y61" s="11">
        <f t="shared" si="23"/>
        <v>8.6281276962899055E-4</v>
      </c>
      <c r="Z61" s="11">
        <f t="shared" si="24"/>
        <v>2.6716738197424893E-2</v>
      </c>
      <c r="AA61" s="11">
        <f t="shared" si="25"/>
        <v>9.5500848896434636E-4</v>
      </c>
      <c r="AB61" s="11">
        <f t="shared" si="26"/>
        <v>0</v>
      </c>
    </row>
    <row r="62" spans="1:29" ht="15" customHeight="1" x14ac:dyDescent="0.2">
      <c r="A62" s="9" t="s">
        <v>12</v>
      </c>
      <c r="B62" s="9">
        <v>5164</v>
      </c>
      <c r="C62" s="9">
        <v>750</v>
      </c>
      <c r="D62" s="11">
        <v>4.507590782878367</v>
      </c>
      <c r="E62" s="9">
        <v>11330</v>
      </c>
      <c r="F62" s="11">
        <v>68.094671426682538</v>
      </c>
      <c r="G62" s="9">
        <v>12</v>
      </c>
      <c r="H62" s="11">
        <v>7.212145252605387E-2</v>
      </c>
      <c r="I62" s="9">
        <v>10</v>
      </c>
      <c r="J62" s="11">
        <v>0.06</v>
      </c>
      <c r="K62" s="11">
        <v>1.52</v>
      </c>
      <c r="L62" s="11">
        <v>3.070175438596491</v>
      </c>
      <c r="M62" s="11">
        <v>105.56915544675643</v>
      </c>
      <c r="N62" s="11">
        <v>10.686617603598334</v>
      </c>
      <c r="O62" s="11"/>
      <c r="P62" s="12">
        <f t="shared" si="16"/>
        <v>1.3875</v>
      </c>
      <c r="Q62" s="12">
        <f t="shared" si="17"/>
        <v>9.0393474088291743</v>
      </c>
      <c r="R62" s="12">
        <f t="shared" si="18"/>
        <v>2.7114474929044468</v>
      </c>
      <c r="S62" s="11">
        <f t="shared" si="19"/>
        <v>3.8039399624765475</v>
      </c>
      <c r="T62" s="11">
        <f t="shared" si="20"/>
        <v>6.2105742935278032</v>
      </c>
      <c r="U62" s="11">
        <f t="shared" si="21"/>
        <v>5.9797026618000535</v>
      </c>
      <c r="V62" s="11">
        <f t="shared" si="22"/>
        <v>2.629994393959318</v>
      </c>
      <c r="W62" s="11">
        <f t="shared" si="23"/>
        <v>2.622950819672131</v>
      </c>
      <c r="X62" s="11">
        <f t="shared" si="23"/>
        <v>2.6143226919758411</v>
      </c>
      <c r="Y62" s="11">
        <f t="shared" si="23"/>
        <v>5.7014667817083691</v>
      </c>
      <c r="Z62" s="11">
        <f t="shared" si="24"/>
        <v>2.5368403433476394</v>
      </c>
      <c r="AA62" s="11">
        <f t="shared" si="25"/>
        <v>1.9240806451612906</v>
      </c>
      <c r="AB62" s="11">
        <f t="shared" si="26"/>
        <v>2.1542402516778525</v>
      </c>
    </row>
    <row r="63" spans="1:29" ht="15" customHeight="1" x14ac:dyDescent="0.2">
      <c r="A63" s="9" t="s">
        <v>22</v>
      </c>
      <c r="D63" s="11"/>
      <c r="F63" s="11"/>
      <c r="H63" s="11"/>
      <c r="J63" s="11"/>
      <c r="K63" s="11"/>
      <c r="L63" s="11"/>
      <c r="M63" s="11"/>
      <c r="N63" s="11"/>
      <c r="O63" s="11"/>
      <c r="P63" s="12"/>
      <c r="Q63" s="12"/>
      <c r="R63" s="12"/>
      <c r="S63" s="11"/>
      <c r="T63" s="11"/>
      <c r="U63" s="11"/>
      <c r="V63" s="11">
        <f t="shared" si="22"/>
        <v>-0.21628243371375971</v>
      </c>
      <c r="W63" s="11">
        <f t="shared" si="23"/>
        <v>-0.55737704918032782</v>
      </c>
      <c r="X63" s="11">
        <f t="shared" si="23"/>
        <v>-1.0483175150992234</v>
      </c>
      <c r="Y63" s="11">
        <f t="shared" si="23"/>
        <v>-4.3140638481449528E-2</v>
      </c>
      <c r="Z63" s="11">
        <f t="shared" si="24"/>
        <v>-2.575107296137339E-2</v>
      </c>
      <c r="AA63" s="11">
        <f t="shared" si="25"/>
        <v>0</v>
      </c>
      <c r="AB63" s="11">
        <f t="shared" si="26"/>
        <v>2.7350959228187919</v>
      </c>
      <c r="AC63" s="11"/>
    </row>
    <row r="64" spans="1:29" ht="15" customHeight="1" x14ac:dyDescent="0.2">
      <c r="A64" s="5" t="s">
        <v>14</v>
      </c>
      <c r="B64" s="6">
        <v>33028</v>
      </c>
      <c r="C64" s="6">
        <v>30077</v>
      </c>
      <c r="D64" s="4">
        <v>180.7664106355102</v>
      </c>
      <c r="E64" s="6">
        <v>42341</v>
      </c>
      <c r="F64" s="4">
        <v>254.47453511713726</v>
      </c>
      <c r="G64" s="6">
        <v>36845</v>
      </c>
      <c r="H64" s="4">
        <v>221.44290986020459</v>
      </c>
      <c r="I64" s="6">
        <v>40595</v>
      </c>
      <c r="J64" s="4">
        <v>243.98086377459643</v>
      </c>
      <c r="K64" s="4">
        <v>254.45</v>
      </c>
      <c r="L64" s="4">
        <v>259.46101364522411</v>
      </c>
      <c r="M64" s="4">
        <v>376.05588044184537</v>
      </c>
      <c r="N64" s="4">
        <v>292.68891531927852</v>
      </c>
      <c r="O64" s="4"/>
      <c r="P64" s="7">
        <f t="shared" ref="P64:U64" si="27">SUM(P55:P62)</f>
        <v>322.81700000000001</v>
      </c>
      <c r="Q64" s="7">
        <f t="shared" si="27"/>
        <v>347.94769673704417</v>
      </c>
      <c r="R64" s="7">
        <f t="shared" si="27"/>
        <v>369.71608325449387</v>
      </c>
      <c r="S64" s="7">
        <f t="shared" si="27"/>
        <v>393.17448405253282</v>
      </c>
      <c r="T64" s="7">
        <f t="shared" si="27"/>
        <v>409.34822242479504</v>
      </c>
      <c r="U64" s="7">
        <f t="shared" si="27"/>
        <v>379.79177423662429</v>
      </c>
      <c r="V64" s="7">
        <f t="shared" ref="V64:AB64" si="28">SUM(V55:V63)</f>
        <v>372.12543342999709</v>
      </c>
      <c r="W64" s="7">
        <f t="shared" si="28"/>
        <v>349.50733390854185</v>
      </c>
      <c r="X64" s="7">
        <f t="shared" si="28"/>
        <v>338.40811044003453</v>
      </c>
      <c r="Y64" s="7">
        <f t="shared" si="28"/>
        <v>345.72044866264025</v>
      </c>
      <c r="Z64" s="7">
        <f t="shared" si="28"/>
        <v>341.72938025751074</v>
      </c>
      <c r="AA64" s="7">
        <f t="shared" si="28"/>
        <v>338.1337096774194</v>
      </c>
      <c r="AB64" s="7">
        <f t="shared" si="28"/>
        <v>338.8352002265101</v>
      </c>
    </row>
    <row r="65" spans="1:28" s="19" customFormat="1" ht="15" customHeight="1" x14ac:dyDescent="0.2">
      <c r="B65" s="19">
        <v>0</v>
      </c>
      <c r="C65" s="19">
        <v>0</v>
      </c>
      <c r="E65" s="19">
        <v>0</v>
      </c>
      <c r="G65" s="19">
        <v>0</v>
      </c>
      <c r="P65" s="20"/>
      <c r="Q65" s="20"/>
      <c r="R65" s="20"/>
    </row>
    <row r="66" spans="1:28" ht="15" customHeight="1" x14ac:dyDescent="0.2">
      <c r="A66" s="5" t="s">
        <v>23</v>
      </c>
      <c r="B66" s="6"/>
      <c r="C66" s="6"/>
      <c r="D66" s="4"/>
      <c r="E66" s="6"/>
      <c r="F66" s="4"/>
      <c r="G66" s="6"/>
      <c r="H66" s="4"/>
      <c r="I66" s="8"/>
      <c r="J66" s="4"/>
      <c r="K66" s="4"/>
      <c r="L66" s="4"/>
      <c r="M66" s="4"/>
      <c r="N66" s="4"/>
      <c r="O66" s="4"/>
      <c r="P66" s="7">
        <v>-6.51</v>
      </c>
      <c r="Q66" s="7">
        <f t="shared" ref="Q66:Y66" si="29">+Q34/P39</f>
        <v>-3.7808061420344794</v>
      </c>
      <c r="R66" s="7">
        <f t="shared" si="29"/>
        <v>-7.91207168735591</v>
      </c>
      <c r="S66" s="7">
        <f t="shared" si="29"/>
        <v>-2.6506968131802666</v>
      </c>
      <c r="T66" s="7">
        <f t="shared" si="29"/>
        <v>-7.9336044329114186</v>
      </c>
      <c r="U66" s="7">
        <f t="shared" si="29"/>
        <v>-17.140355913917038</v>
      </c>
      <c r="V66" s="7">
        <f t="shared" si="29"/>
        <v>0.21515776440113196</v>
      </c>
      <c r="W66" s="7">
        <f t="shared" si="29"/>
        <v>0.55961604831746625</v>
      </c>
      <c r="X66" s="7">
        <f t="shared" si="29"/>
        <v>1.0645161290321621</v>
      </c>
      <c r="Y66" s="7">
        <f t="shared" si="29"/>
        <v>4.6207497820448223E-2</v>
      </c>
      <c r="Z66" s="4">
        <f>+Z34/$Y$39</f>
        <v>2.575107296137339E-2</v>
      </c>
      <c r="AA66" s="4">
        <f>+AA34/Z39</f>
        <v>0</v>
      </c>
      <c r="AB66" s="4">
        <f>+AB34/AA39</f>
        <v>-2.7350959228187919</v>
      </c>
    </row>
    <row r="67" spans="1:28" ht="15" customHeight="1" x14ac:dyDescent="0.2">
      <c r="A67" s="5" t="s">
        <v>24</v>
      </c>
      <c r="B67" s="6"/>
      <c r="C67" s="6"/>
      <c r="D67" s="4"/>
      <c r="E67" s="6"/>
      <c r="F67" s="4"/>
      <c r="G67" s="6"/>
      <c r="H67" s="4"/>
      <c r="I67" s="8"/>
      <c r="J67" s="4"/>
      <c r="K67" s="4"/>
      <c r="L67" s="4"/>
      <c r="M67" s="4"/>
      <c r="N67" s="4"/>
      <c r="O67" s="4"/>
      <c r="P67" s="7">
        <v>-22.315400000000011</v>
      </c>
      <c r="Q67" s="7">
        <f t="shared" ref="Q67:Y67" si="30">+Q35/P39</f>
        <v>-25.196737044145813</v>
      </c>
      <c r="R67" s="7">
        <f t="shared" si="30"/>
        <v>-32.760924788091422</v>
      </c>
      <c r="S67" s="7">
        <f t="shared" si="30"/>
        <v>-35.151614261683669</v>
      </c>
      <c r="T67" s="7">
        <f t="shared" si="30"/>
        <v>-42.061385269497507</v>
      </c>
      <c r="U67" s="7">
        <f t="shared" si="30"/>
        <v>-58.215927466160693</v>
      </c>
      <c r="V67" s="7">
        <f t="shared" si="30"/>
        <v>-56.358962917929198</v>
      </c>
      <c r="W67" s="7">
        <f t="shared" si="30"/>
        <v>-55.650647109577136</v>
      </c>
      <c r="X67" s="7">
        <f t="shared" si="30"/>
        <v>-55.168352223190936</v>
      </c>
      <c r="Y67" s="7">
        <f t="shared" si="30"/>
        <v>-55.122144725370489</v>
      </c>
      <c r="Z67" s="4">
        <f>+Z35/$Y$39</f>
        <v>-54.244721030042875</v>
      </c>
      <c r="AA67" s="4">
        <f>+AA35/Z39</f>
        <v>-53.646095076400641</v>
      </c>
      <c r="AB67" s="4">
        <f>+AB35/AA39</f>
        <v>-55.751119412751642</v>
      </c>
    </row>
    <row r="71" spans="1:28" ht="15" customHeight="1" x14ac:dyDescent="0.2">
      <c r="A71" s="33" t="s">
        <v>27</v>
      </c>
    </row>
    <row r="72" spans="1:28" ht="15" customHeight="1" x14ac:dyDescent="0.2">
      <c r="V72" s="21"/>
    </row>
    <row r="73" spans="1:28" ht="15" customHeight="1" x14ac:dyDescent="0.2">
      <c r="K73" s="21"/>
      <c r="L73" s="21"/>
      <c r="M73" s="21"/>
      <c r="N73" s="21"/>
      <c r="O73" s="21"/>
      <c r="P73" s="22"/>
      <c r="Q73" s="22"/>
      <c r="R73" s="22"/>
    </row>
  </sheetData>
  <printOptions horizontalCentered="1" gridLines="1"/>
  <pageMargins left="0.19685039370078741" right="0.15748031496062992" top="0.23622047244094491" bottom="0.23622047244094491" header="0" footer="0"/>
  <pageSetup paperSize="9" scale="62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Evolució de la liquidació</vt:lpstr>
    </vt:vector>
  </TitlesOfParts>
  <Company>UAB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Usuario de Windows</cp:lastModifiedBy>
  <dcterms:created xsi:type="dcterms:W3CDTF">2019-07-17T11:26:15Z</dcterms:created>
  <dcterms:modified xsi:type="dcterms:W3CDTF">2019-07-31T11:44:20Z</dcterms:modified>
</cp:coreProperties>
</file>